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U LIEU DESTOP\DU TOAN NAM 2023\"/>
    </mc:Choice>
  </mc:AlternateContent>
  <bookViews>
    <workbookView xWindow="0" yWindow="60" windowWidth="20400" windowHeight="7995"/>
  </bookViews>
  <sheets>
    <sheet name="PL.TH" sheetId="2" r:id="rId1"/>
    <sheet name="PL. CHI TIẾT" sheetId="1" r:id="rId2"/>
  </sheets>
  <definedNames>
    <definedName name="_xlnm.Print_Titles" localSheetId="1">'PL. CHI TIẾT'!$5:$6</definedName>
    <definedName name="_xlnm.Print_Titles" localSheetId="0">PL.TH!$5:$7</definedName>
  </definedNames>
  <calcPr calcId="152511"/>
</workbook>
</file>

<file path=xl/calcChain.xml><?xml version="1.0" encoding="utf-8"?>
<calcChain xmlns="http://schemas.openxmlformats.org/spreadsheetml/2006/main">
  <c r="F62" i="2" l="1"/>
  <c r="G62" i="2"/>
  <c r="H62" i="2"/>
  <c r="E62" i="2"/>
  <c r="I61" i="2"/>
  <c r="Q65" i="1" l="1"/>
  <c r="P65" i="1"/>
  <c r="O65" i="1"/>
  <c r="N65" i="1"/>
  <c r="M65" i="1"/>
  <c r="L65" i="1"/>
  <c r="K65" i="1"/>
  <c r="J65" i="1"/>
  <c r="D65" i="1"/>
  <c r="R64" i="1" l="1"/>
  <c r="P64" i="1"/>
  <c r="M64" i="1"/>
  <c r="L64" i="1"/>
  <c r="N64" i="1"/>
  <c r="K64" i="1"/>
  <c r="C103" i="1"/>
  <c r="C101" i="1"/>
  <c r="D83" i="1"/>
  <c r="J51" i="1"/>
  <c r="G51" i="1"/>
  <c r="D51" i="1"/>
  <c r="P51" i="1" l="1"/>
  <c r="C54" i="1" l="1"/>
  <c r="C55" i="1"/>
  <c r="C56" i="1"/>
  <c r="I52" i="2" l="1"/>
  <c r="I58" i="2"/>
  <c r="I57" i="2"/>
  <c r="I56" i="2"/>
  <c r="I55" i="2"/>
  <c r="I54" i="2"/>
  <c r="I53" i="2"/>
  <c r="I60" i="2"/>
  <c r="C93" i="1"/>
  <c r="C44" i="1"/>
  <c r="D34" i="1"/>
  <c r="E34" i="1"/>
  <c r="F34" i="1"/>
  <c r="G34" i="1"/>
  <c r="H34" i="1"/>
  <c r="I34" i="1"/>
  <c r="J34" i="1"/>
  <c r="K34" i="1"/>
  <c r="L34" i="1"/>
  <c r="M34" i="1"/>
  <c r="N34" i="1"/>
  <c r="O34" i="1"/>
  <c r="P34" i="1"/>
  <c r="Q34" i="1"/>
  <c r="R34" i="1"/>
  <c r="S34" i="1"/>
  <c r="T34" i="1"/>
  <c r="U34" i="1"/>
  <c r="C66" i="1"/>
  <c r="C67" i="1"/>
  <c r="C68" i="1"/>
  <c r="C69" i="1"/>
  <c r="C70" i="1"/>
  <c r="C71" i="1"/>
  <c r="C72" i="1"/>
  <c r="C89" i="1"/>
  <c r="C90" i="1"/>
  <c r="C91" i="1"/>
  <c r="C92" i="1"/>
  <c r="C94" i="1"/>
  <c r="C95" i="1"/>
  <c r="U75" i="1"/>
  <c r="D75" i="1"/>
  <c r="E75" i="1"/>
  <c r="F75" i="1"/>
  <c r="J75" i="1"/>
  <c r="S75" i="1"/>
  <c r="T75" i="1"/>
  <c r="I51" i="2" l="1"/>
  <c r="I59" i="2"/>
  <c r="C58" i="1" l="1"/>
  <c r="R59" i="1"/>
  <c r="Q59" i="1"/>
  <c r="C59" i="1" l="1"/>
  <c r="C65" i="1"/>
  <c r="C88" i="1"/>
  <c r="C64" i="1"/>
  <c r="I48" i="2"/>
  <c r="I49" i="2"/>
  <c r="I50" i="2"/>
  <c r="I32" i="2" l="1"/>
  <c r="I33" i="2"/>
  <c r="I34" i="2"/>
  <c r="I35" i="2"/>
  <c r="I37" i="2"/>
  <c r="I38" i="2"/>
  <c r="I39" i="2"/>
  <c r="I40" i="2"/>
  <c r="I41" i="2"/>
  <c r="I31" i="2"/>
  <c r="F23" i="2"/>
  <c r="G42" i="2"/>
  <c r="H42" i="2"/>
  <c r="F42" i="2"/>
  <c r="I47" i="2"/>
  <c r="I30" i="2"/>
  <c r="G9" i="2"/>
  <c r="H9" i="2"/>
  <c r="F9" i="2"/>
  <c r="I17" i="2"/>
  <c r="I18" i="2"/>
  <c r="I19" i="2"/>
  <c r="I46" i="2"/>
  <c r="I62" i="2" s="1"/>
  <c r="I43" i="2"/>
  <c r="I42" i="2" s="1"/>
  <c r="E42" i="2"/>
  <c r="H36" i="2"/>
  <c r="H23" i="2" s="1"/>
  <c r="G36" i="2"/>
  <c r="G23" i="2" s="1"/>
  <c r="E36" i="2"/>
  <c r="I29" i="2"/>
  <c r="I28" i="2"/>
  <c r="I27" i="2"/>
  <c r="I26" i="2"/>
  <c r="I25" i="2"/>
  <c r="I24" i="2"/>
  <c r="I22" i="2"/>
  <c r="I21" i="2" s="1"/>
  <c r="H21" i="2"/>
  <c r="G21" i="2"/>
  <c r="F21" i="2"/>
  <c r="E21" i="2"/>
  <c r="I16" i="2"/>
  <c r="I15" i="2"/>
  <c r="I14" i="2"/>
  <c r="I13" i="2"/>
  <c r="I12" i="2"/>
  <c r="I11" i="2"/>
  <c r="I10" i="2"/>
  <c r="E9" i="2"/>
  <c r="R77" i="1"/>
  <c r="Q77" i="1"/>
  <c r="P77" i="1"/>
  <c r="O77" i="1"/>
  <c r="N77" i="1"/>
  <c r="M77" i="1"/>
  <c r="L77" i="1"/>
  <c r="K77" i="1"/>
  <c r="K75" i="1" s="1"/>
  <c r="R76" i="1"/>
  <c r="R75" i="1" s="1"/>
  <c r="Q76" i="1"/>
  <c r="Q75" i="1" s="1"/>
  <c r="P76" i="1"/>
  <c r="P75" i="1" s="1"/>
  <c r="O76" i="1"/>
  <c r="O75" i="1" s="1"/>
  <c r="N76" i="1"/>
  <c r="N75" i="1" s="1"/>
  <c r="M76" i="1"/>
  <c r="M75" i="1" s="1"/>
  <c r="L76" i="1"/>
  <c r="L75" i="1" s="1"/>
  <c r="I76" i="1"/>
  <c r="I75" i="1" s="1"/>
  <c r="H76" i="1"/>
  <c r="H75" i="1" s="1"/>
  <c r="G76" i="1"/>
  <c r="G75" i="1" s="1"/>
  <c r="K49" i="1"/>
  <c r="J49" i="1"/>
  <c r="D102" i="1"/>
  <c r="D100" i="1" s="1"/>
  <c r="E102" i="1"/>
  <c r="E100" i="1" s="1"/>
  <c r="F102" i="1"/>
  <c r="F100" i="1" s="1"/>
  <c r="G102" i="1"/>
  <c r="G100" i="1" s="1"/>
  <c r="H102" i="1"/>
  <c r="H100" i="1" s="1"/>
  <c r="I102" i="1"/>
  <c r="I100" i="1" s="1"/>
  <c r="J102" i="1"/>
  <c r="J100" i="1" s="1"/>
  <c r="K102" i="1"/>
  <c r="K100" i="1" s="1"/>
  <c r="L102" i="1"/>
  <c r="L100" i="1" s="1"/>
  <c r="M102" i="1"/>
  <c r="M100" i="1" s="1"/>
  <c r="N102" i="1"/>
  <c r="N100" i="1" s="1"/>
  <c r="O102" i="1"/>
  <c r="O100" i="1" s="1"/>
  <c r="P102" i="1"/>
  <c r="P100" i="1" s="1"/>
  <c r="Q102" i="1"/>
  <c r="Q100" i="1" s="1"/>
  <c r="R102" i="1"/>
  <c r="R100" i="1" s="1"/>
  <c r="S102" i="1"/>
  <c r="S100" i="1" s="1"/>
  <c r="T102" i="1"/>
  <c r="T100" i="1" s="1"/>
  <c r="U102" i="1"/>
  <c r="U100" i="1" s="1"/>
  <c r="C102" i="1" l="1"/>
  <c r="C100" i="1" s="1"/>
  <c r="I36" i="2"/>
  <c r="I23" i="2" s="1"/>
  <c r="H20" i="2"/>
  <c r="H8" i="2" s="1"/>
  <c r="G20" i="2"/>
  <c r="G8" i="2" s="1"/>
  <c r="I9" i="2"/>
  <c r="F20" i="2"/>
  <c r="F8" i="2" s="1"/>
  <c r="E23" i="2"/>
  <c r="E20" i="2" s="1"/>
  <c r="E44" i="2" s="1"/>
  <c r="C87" i="1"/>
  <c r="H44" i="2" l="1"/>
  <c r="H63" i="2" s="1"/>
  <c r="F44" i="2"/>
  <c r="F63" i="2" s="1"/>
  <c r="G44" i="2"/>
  <c r="G63" i="2" s="1"/>
  <c r="E63" i="2"/>
  <c r="I20" i="2"/>
  <c r="I8" i="2" s="1"/>
  <c r="R51" i="1"/>
  <c r="K51" i="1"/>
  <c r="N51" i="1"/>
  <c r="D60" i="1"/>
  <c r="D48" i="1" s="1"/>
  <c r="E60" i="1"/>
  <c r="E48" i="1" s="1"/>
  <c r="F60" i="1"/>
  <c r="F48" i="1" s="1"/>
  <c r="G60" i="1"/>
  <c r="G48" i="1" s="1"/>
  <c r="H60" i="1"/>
  <c r="H48" i="1" s="1"/>
  <c r="I60" i="1"/>
  <c r="I48" i="1" s="1"/>
  <c r="J60" i="1"/>
  <c r="J48" i="1" s="1"/>
  <c r="K60" i="1"/>
  <c r="L60" i="1"/>
  <c r="L48" i="1" s="1"/>
  <c r="M60" i="1"/>
  <c r="M48" i="1" s="1"/>
  <c r="N60" i="1"/>
  <c r="O60" i="1"/>
  <c r="O48" i="1" s="1"/>
  <c r="P60" i="1"/>
  <c r="P48" i="1" s="1"/>
  <c r="Q60" i="1"/>
  <c r="Q48" i="1" s="1"/>
  <c r="R60" i="1"/>
  <c r="S60" i="1"/>
  <c r="S48" i="1" s="1"/>
  <c r="T60" i="1"/>
  <c r="T48" i="1" s="1"/>
  <c r="C63" i="1"/>
  <c r="K48" i="1" l="1"/>
  <c r="N48" i="1"/>
  <c r="R48" i="1"/>
  <c r="I63" i="2"/>
  <c r="I44" i="2"/>
  <c r="C99" i="1"/>
  <c r="C97" i="1"/>
  <c r="D98" i="1"/>
  <c r="D96" i="1" s="1"/>
  <c r="E98" i="1"/>
  <c r="E96" i="1" s="1"/>
  <c r="F98" i="1"/>
  <c r="F96" i="1" s="1"/>
  <c r="G98" i="1"/>
  <c r="G96" i="1" s="1"/>
  <c r="H98" i="1"/>
  <c r="H96" i="1" s="1"/>
  <c r="I98" i="1"/>
  <c r="I96" i="1" s="1"/>
  <c r="J98" i="1"/>
  <c r="J96" i="1" s="1"/>
  <c r="K98" i="1"/>
  <c r="K96" i="1" s="1"/>
  <c r="L98" i="1"/>
  <c r="L96" i="1" s="1"/>
  <c r="M98" i="1"/>
  <c r="M96" i="1" s="1"/>
  <c r="N98" i="1"/>
  <c r="N96" i="1" s="1"/>
  <c r="O98" i="1"/>
  <c r="O96" i="1" s="1"/>
  <c r="P98" i="1"/>
  <c r="P96" i="1" s="1"/>
  <c r="Q98" i="1"/>
  <c r="Q96" i="1" s="1"/>
  <c r="R98" i="1"/>
  <c r="R96" i="1" s="1"/>
  <c r="S98" i="1"/>
  <c r="S96" i="1" s="1"/>
  <c r="T98" i="1"/>
  <c r="T96" i="1" s="1"/>
  <c r="U98" i="1"/>
  <c r="U96" i="1" s="1"/>
  <c r="C98" i="1" l="1"/>
  <c r="C96" i="1" s="1"/>
  <c r="C86" i="1"/>
  <c r="C85" i="1"/>
  <c r="C84" i="1"/>
  <c r="C83" i="1"/>
  <c r="C82" i="1"/>
  <c r="C81" i="1"/>
  <c r="C80" i="1"/>
  <c r="C79" i="1"/>
  <c r="C78" i="1"/>
  <c r="C77" i="1"/>
  <c r="C76" i="1"/>
  <c r="U73" i="1"/>
  <c r="T73" i="1"/>
  <c r="S73" i="1"/>
  <c r="R73" i="1"/>
  <c r="Q73" i="1"/>
  <c r="P73" i="1"/>
  <c r="O73" i="1"/>
  <c r="N73" i="1"/>
  <c r="M73" i="1"/>
  <c r="K73" i="1"/>
  <c r="J73" i="1"/>
  <c r="I73" i="1"/>
  <c r="H73" i="1"/>
  <c r="G73" i="1"/>
  <c r="F73" i="1"/>
  <c r="E73" i="1"/>
  <c r="D73" i="1"/>
  <c r="L73" i="1"/>
  <c r="U62" i="1"/>
  <c r="U60" i="1" s="1"/>
  <c r="U48" i="1" s="1"/>
  <c r="C61" i="1"/>
  <c r="C57" i="1"/>
  <c r="C52" i="1"/>
  <c r="C51" i="1"/>
  <c r="C50" i="1"/>
  <c r="C49" i="1"/>
  <c r="T46" i="1"/>
  <c r="R46" i="1"/>
  <c r="Q46" i="1"/>
  <c r="P46" i="1"/>
  <c r="N46" i="1"/>
  <c r="M46" i="1"/>
  <c r="L46" i="1"/>
  <c r="J46" i="1"/>
  <c r="I46" i="1"/>
  <c r="G46" i="1"/>
  <c r="F46" i="1"/>
  <c r="E46" i="1"/>
  <c r="D46" i="1"/>
  <c r="S46" i="1"/>
  <c r="O46" i="1"/>
  <c r="K46" i="1"/>
  <c r="H46" i="1"/>
  <c r="C43" i="1"/>
  <c r="C42" i="1"/>
  <c r="C41" i="1"/>
  <c r="C40" i="1"/>
  <c r="C39" i="1"/>
  <c r="C38" i="1"/>
  <c r="C37" i="1"/>
  <c r="C36" i="1"/>
  <c r="C35" i="1"/>
  <c r="E33" i="1"/>
  <c r="E32" i="1" s="1"/>
  <c r="D33" i="1"/>
  <c r="U32" i="1"/>
  <c r="T32" i="1"/>
  <c r="T31" i="1" s="1"/>
  <c r="S32" i="1"/>
  <c r="S31" i="1" s="1"/>
  <c r="R32" i="1"/>
  <c r="R31" i="1" s="1"/>
  <c r="Q32" i="1"/>
  <c r="P32" i="1"/>
  <c r="P31" i="1" s="1"/>
  <c r="O32" i="1"/>
  <c r="O31" i="1" s="1"/>
  <c r="N32" i="1"/>
  <c r="N31" i="1" s="1"/>
  <c r="M32" i="1"/>
  <c r="L32" i="1"/>
  <c r="K32" i="1"/>
  <c r="K31" i="1" s="1"/>
  <c r="J32" i="1"/>
  <c r="J31" i="1" s="1"/>
  <c r="I32" i="1"/>
  <c r="H32" i="1"/>
  <c r="H31" i="1" s="1"/>
  <c r="G32" i="1"/>
  <c r="G31" i="1" s="1"/>
  <c r="F32" i="1"/>
  <c r="F31" i="1" s="1"/>
  <c r="L31" i="1"/>
  <c r="C29" i="1"/>
  <c r="C28" i="1"/>
  <c r="U27" i="1"/>
  <c r="U25" i="1" s="1"/>
  <c r="U23" i="1" s="1"/>
  <c r="T27" i="1"/>
  <c r="T25" i="1" s="1"/>
  <c r="T23" i="1" s="1"/>
  <c r="S27" i="1"/>
  <c r="S25" i="1" s="1"/>
  <c r="S23" i="1" s="1"/>
  <c r="R27" i="1"/>
  <c r="Q27" i="1"/>
  <c r="Q25" i="1" s="1"/>
  <c r="Q23" i="1" s="1"/>
  <c r="P27" i="1"/>
  <c r="P25" i="1" s="1"/>
  <c r="P23" i="1" s="1"/>
  <c r="O27" i="1"/>
  <c r="O25" i="1" s="1"/>
  <c r="O23" i="1" s="1"/>
  <c r="N27" i="1"/>
  <c r="N25" i="1" s="1"/>
  <c r="N23" i="1" s="1"/>
  <c r="M27" i="1"/>
  <c r="M25" i="1" s="1"/>
  <c r="M23" i="1" s="1"/>
  <c r="L27" i="1"/>
  <c r="L25" i="1" s="1"/>
  <c r="L23" i="1" s="1"/>
  <c r="K27" i="1"/>
  <c r="K25" i="1" s="1"/>
  <c r="K23" i="1" s="1"/>
  <c r="J27" i="1"/>
  <c r="J25" i="1" s="1"/>
  <c r="J23" i="1" s="1"/>
  <c r="I27" i="1"/>
  <c r="I25" i="1" s="1"/>
  <c r="I23" i="1" s="1"/>
  <c r="H27" i="1"/>
  <c r="H25" i="1" s="1"/>
  <c r="H23" i="1" s="1"/>
  <c r="G27" i="1"/>
  <c r="G25" i="1" s="1"/>
  <c r="G23" i="1" s="1"/>
  <c r="F27" i="1"/>
  <c r="F25" i="1" s="1"/>
  <c r="F23" i="1" s="1"/>
  <c r="E27" i="1"/>
  <c r="E25" i="1" s="1"/>
  <c r="E23" i="1" s="1"/>
  <c r="D27" i="1"/>
  <c r="D25" i="1" s="1"/>
  <c r="D23" i="1" s="1"/>
  <c r="C26" i="1"/>
  <c r="R25" i="1"/>
  <c r="R23" i="1" s="1"/>
  <c r="C22" i="1"/>
  <c r="H21" i="1"/>
  <c r="C21" i="1" s="1"/>
  <c r="C20" i="1"/>
  <c r="U19" i="1"/>
  <c r="T19" i="1"/>
  <c r="S19" i="1"/>
  <c r="R19" i="1"/>
  <c r="Q19" i="1"/>
  <c r="P19" i="1"/>
  <c r="O19" i="1"/>
  <c r="N19" i="1"/>
  <c r="M19" i="1"/>
  <c r="L19" i="1"/>
  <c r="K19" i="1"/>
  <c r="J19" i="1"/>
  <c r="I19" i="1"/>
  <c r="G19" i="1"/>
  <c r="F19" i="1"/>
  <c r="E19" i="1"/>
  <c r="D19" i="1"/>
  <c r="C17" i="1"/>
  <c r="E16" i="1"/>
  <c r="E14" i="1" s="1"/>
  <c r="D16" i="1"/>
  <c r="U15" i="1"/>
  <c r="T15" i="1"/>
  <c r="S15" i="1"/>
  <c r="R15" i="1"/>
  <c r="Q15" i="1"/>
  <c r="P15" i="1"/>
  <c r="O15" i="1"/>
  <c r="N15" i="1"/>
  <c r="M15" i="1"/>
  <c r="L15" i="1"/>
  <c r="K15" i="1"/>
  <c r="J15" i="1"/>
  <c r="I15" i="1"/>
  <c r="H15" i="1"/>
  <c r="G15" i="1"/>
  <c r="F15" i="1"/>
  <c r="U14" i="1"/>
  <c r="T14" i="1"/>
  <c r="S14" i="1"/>
  <c r="R14" i="1"/>
  <c r="Q14" i="1"/>
  <c r="P14" i="1"/>
  <c r="O14" i="1"/>
  <c r="N14" i="1"/>
  <c r="M14" i="1"/>
  <c r="L14" i="1"/>
  <c r="K14" i="1"/>
  <c r="J14" i="1"/>
  <c r="I14" i="1"/>
  <c r="H14" i="1"/>
  <c r="G14" i="1"/>
  <c r="F14" i="1"/>
  <c r="C13" i="1"/>
  <c r="C12" i="1"/>
  <c r="C11" i="1"/>
  <c r="U10" i="1"/>
  <c r="U9" i="1" s="1"/>
  <c r="T10" i="1"/>
  <c r="T9" i="1" s="1"/>
  <c r="S10" i="1"/>
  <c r="S9" i="1" s="1"/>
  <c r="R10" i="1"/>
  <c r="R9" i="1" s="1"/>
  <c r="Q10" i="1"/>
  <c r="Q9" i="1" s="1"/>
  <c r="P10" i="1"/>
  <c r="P9" i="1" s="1"/>
  <c r="O10" i="1"/>
  <c r="O9" i="1" s="1"/>
  <c r="N10" i="1"/>
  <c r="N9" i="1" s="1"/>
  <c r="M10" i="1"/>
  <c r="M9" i="1" s="1"/>
  <c r="L10" i="1"/>
  <c r="L9" i="1" s="1"/>
  <c r="K10" i="1"/>
  <c r="K9" i="1" s="1"/>
  <c r="J10" i="1"/>
  <c r="J9" i="1" s="1"/>
  <c r="I10" i="1"/>
  <c r="I9" i="1" s="1"/>
  <c r="H10" i="1"/>
  <c r="H9" i="1" s="1"/>
  <c r="G10" i="1"/>
  <c r="G9" i="1" s="1"/>
  <c r="F10" i="1"/>
  <c r="F9" i="1" s="1"/>
  <c r="E10" i="1"/>
  <c r="E9" i="1" s="1"/>
  <c r="D10" i="1"/>
  <c r="D9" i="1" s="1"/>
  <c r="C75" i="1" l="1"/>
  <c r="C73" i="1" s="1"/>
  <c r="U46" i="1"/>
  <c r="U45" i="1" s="1"/>
  <c r="C34" i="1"/>
  <c r="I8" i="1"/>
  <c r="H19" i="1"/>
  <c r="C16" i="1"/>
  <c r="C14" i="1" s="1"/>
  <c r="E15" i="1"/>
  <c r="E8" i="1"/>
  <c r="Q8" i="1"/>
  <c r="U8" i="1"/>
  <c r="D14" i="1"/>
  <c r="J8" i="1"/>
  <c r="N8" i="1"/>
  <c r="C27" i="1"/>
  <c r="C25" i="1" s="1"/>
  <c r="C23" i="1" s="1"/>
  <c r="C62" i="1"/>
  <c r="C60" i="1" s="1"/>
  <c r="C48" i="1" s="1"/>
  <c r="K8" i="1"/>
  <c r="M8" i="1"/>
  <c r="F8" i="1"/>
  <c r="R8" i="1"/>
  <c r="L45" i="1"/>
  <c r="L30" i="1" s="1"/>
  <c r="G8" i="1"/>
  <c r="O8" i="1"/>
  <c r="S8" i="1"/>
  <c r="D15" i="1"/>
  <c r="C19" i="1"/>
  <c r="I31" i="1"/>
  <c r="M31" i="1"/>
  <c r="Q31" i="1"/>
  <c r="U31" i="1"/>
  <c r="C33" i="1"/>
  <c r="C32" i="1" s="1"/>
  <c r="G45" i="1"/>
  <c r="G30" i="1" s="1"/>
  <c r="K45" i="1"/>
  <c r="K30" i="1" s="1"/>
  <c r="O45" i="1"/>
  <c r="O30" i="1" s="1"/>
  <c r="S45" i="1"/>
  <c r="S30" i="1" s="1"/>
  <c r="D8" i="1"/>
  <c r="H8" i="1"/>
  <c r="L8" i="1"/>
  <c r="P8" i="1"/>
  <c r="T8" i="1"/>
  <c r="E31" i="1"/>
  <c r="D45" i="1"/>
  <c r="H45" i="1"/>
  <c r="H30" i="1" s="1"/>
  <c r="P45" i="1"/>
  <c r="P30" i="1" s="1"/>
  <c r="T45" i="1"/>
  <c r="T30" i="1" s="1"/>
  <c r="D32" i="1"/>
  <c r="D31" i="1" s="1"/>
  <c r="E45" i="1"/>
  <c r="I45" i="1"/>
  <c r="M45" i="1"/>
  <c r="Q45" i="1"/>
  <c r="C10" i="1"/>
  <c r="C9" i="1" s="1"/>
  <c r="F45" i="1"/>
  <c r="F30" i="1" s="1"/>
  <c r="J45" i="1"/>
  <c r="J30" i="1" s="1"/>
  <c r="N45" i="1"/>
  <c r="N30" i="1" s="1"/>
  <c r="R45" i="1"/>
  <c r="R30" i="1" s="1"/>
  <c r="M30" i="1" l="1"/>
  <c r="C15" i="1"/>
  <c r="C31" i="1"/>
  <c r="C46" i="1"/>
  <c r="C45" i="1" s="1"/>
  <c r="C8" i="1"/>
  <c r="I30" i="1"/>
  <c r="U30" i="1"/>
  <c r="E30" i="1"/>
  <c r="Q30" i="1"/>
  <c r="D30" i="1"/>
  <c r="C30" i="1" l="1"/>
</calcChain>
</file>

<file path=xl/sharedStrings.xml><?xml version="1.0" encoding="utf-8"?>
<sst xmlns="http://schemas.openxmlformats.org/spreadsheetml/2006/main" count="342" uniqueCount="197">
  <si>
    <t>ĐVT: 1.000 đồng</t>
  </si>
  <si>
    <t>STT</t>
  </si>
  <si>
    <t>Nội dung</t>
  </si>
  <si>
    <t xml:space="preserve">Tổng số </t>
  </si>
  <si>
    <t>Chi tiết theo đơn vị sử dụng</t>
  </si>
  <si>
    <t>Văn phòng Sở Y tế</t>
  </si>
  <si>
    <t>Chi cục ATTP</t>
  </si>
  <si>
    <t>Chi cục dân số</t>
  </si>
  <si>
    <t>BVĐK tỉnh</t>
  </si>
  <si>
    <t>TT GĐYK</t>
  </si>
  <si>
    <t>TT Pháp Y</t>
  </si>
  <si>
    <t>TT KSBT</t>
  </si>
  <si>
    <t>TTYT thành phố Gia Nghĩa</t>
  </si>
  <si>
    <t>TTYT Krông Nô</t>
  </si>
  <si>
    <t>TTYT Đăk Mil</t>
  </si>
  <si>
    <t>TTYT Đăk Rlấp</t>
  </si>
  <si>
    <t>TTYT Cư Jút</t>
  </si>
  <si>
    <t>TTYT Đăk Song</t>
  </si>
  <si>
    <t>TTYT Đăk Glong</t>
  </si>
  <si>
    <t>TTYT Tuy Đức</t>
  </si>
  <si>
    <t>DA sáng kiến ngăn chặn kháng thuốc Artemisin (DA4)</t>
  </si>
  <si>
    <t>Dự án '' Phát triển mô hình chăm sóc mắt tuyến huyện '' tại tỉnh Đăk Nông GĐ 2021-2024</t>
  </si>
  <si>
    <t xml:space="preserve">Chương trình đầu tư phát triển mạng lưới y tế cơ sở vùng khó khăn </t>
  </si>
  <si>
    <t>A</t>
  </si>
  <si>
    <t>B</t>
  </si>
  <si>
    <t>I</t>
  </si>
  <si>
    <t xml:space="preserve">Tổng số thu, chi, nộp ngân sách phí, lệ phí </t>
  </si>
  <si>
    <t>Số thu phí, lệ phí</t>
  </si>
  <si>
    <t>1.1</t>
  </si>
  <si>
    <t>Phí</t>
  </si>
  <si>
    <t xml:space="preserve"> -</t>
  </si>
  <si>
    <t>Phí thẩm định hoạt động tiêu chuẩn điều kiện hành nghề thuộc lĩnh vực y tế</t>
  </si>
  <si>
    <t>Phí thẩm định cấp phép lưu hành, nhập khẩu, xác nhận, công bố trong lĩnh vực an toàn thực phẩm</t>
  </si>
  <si>
    <t>Phí thẩm định cấp giấy giám định y khoa</t>
  </si>
  <si>
    <t>Chi từ nguồn thu phí được để lại</t>
  </si>
  <si>
    <t>2.1</t>
  </si>
  <si>
    <t>Chi quản lý hành chính</t>
  </si>
  <si>
    <t>a</t>
  </si>
  <si>
    <t>Kinh phí thực hiện chế độ tự chủ</t>
  </si>
  <si>
    <t>Trong đó: Trích tạo nguồn thực hiện CCTL theo quy định</t>
  </si>
  <si>
    <t>b</t>
  </si>
  <si>
    <t>Kinh phí không thực hiện chế độ tự chủ</t>
  </si>
  <si>
    <t>2.2</t>
  </si>
  <si>
    <t>Chi sự nghiệp y tế, dân số và gia đình</t>
  </si>
  <si>
    <t>II</t>
  </si>
  <si>
    <t>Tổng thu sự nghiệp y tế, dân số và gia đình</t>
  </si>
  <si>
    <t>Số thu sự nghiệp y tế, dân số và gia đình</t>
  </si>
  <si>
    <t>Chi từ nguồn thu sự nghiệp y tế, dân số và gia đình</t>
  </si>
  <si>
    <t>Kinh phí nhiệm vụ thường xuyên</t>
  </si>
  <si>
    <t>Kinh phí nhiệm vụ không thường xuyên</t>
  </si>
  <si>
    <t>Dự toán chi ngân sách nhà nước</t>
  </si>
  <si>
    <t>Chi quản lý hành chính (Loại 340 - Khoản 341)</t>
  </si>
  <si>
    <t>Lương và chi khác theo quy định</t>
  </si>
  <si>
    <t>Trang phục thanh tra</t>
  </si>
  <si>
    <t>Hợp đồng 68</t>
  </si>
  <si>
    <t>Hỗ trợ hoạt động đại biểu Hội đồng nhân dân</t>
  </si>
  <si>
    <t xml:space="preserve">Phụ cấp dân quân tự vệ </t>
  </si>
  <si>
    <t>Mua sắm trang thiết bị phục vụ công tác (máy vi tính, máy in) theo tiêu chuẩn, định mức cho Chi Cục DS-KHHGĐ</t>
  </si>
  <si>
    <t>Sửa chữa xe ô tô 48A 003.33 và 48A -0079</t>
  </si>
  <si>
    <t>Sửa chữa, bảo dưỡng trụ sở Sở Y tế</t>
  </si>
  <si>
    <t xml:space="preserve">Sửa chữa, bảo dưỡng trụ sở Chi cục DS-KHHGĐ tỉnh </t>
  </si>
  <si>
    <t>Sửa chữa, bảo dưỡng trụ sở Trung tâm Pháp y</t>
  </si>
  <si>
    <t>Loại 130 - Khoản 131</t>
  </si>
  <si>
    <t xml:space="preserve">Lương và chi khác theo quy định </t>
  </si>
  <si>
    <t>Phụ cấp cộng tác viên dân số theo Nghị quyết số 03/2022/NQ-HĐND</t>
  </si>
  <si>
    <t>Phòng chống dịch Covid-19, Bạch hầu và các dịch bệnh phát sinh</t>
  </si>
  <si>
    <t>Thực hiện công tác an toàn vệ sinh thực phẩm</t>
  </si>
  <si>
    <t>Chương trình mục tiêu Quốc gia giảm nghèo bền vững (Dự án 3: Hỗ trợ phát triển sản xuất, cải thiện dinh dưỡng; Mã chương trình: 0470, mã số tiểu chương trình, DA: 0473)</t>
  </si>
  <si>
    <t>Vốn đối ứng của địa phương thực hiện các dự án thuộc lĩnh vực y tế</t>
  </si>
  <si>
    <t xml:space="preserve"> +</t>
  </si>
  <si>
    <t xml:space="preserve"> Dự án sáng kiến khu vực  ngăn chặn loại trừ thuốc sốt rét kháng thuốc Artemisinin giai đoạn 2021-2023 </t>
  </si>
  <si>
    <t>Loại 130 - Khoản 132</t>
  </si>
  <si>
    <t>Lương và chi khác theo quy định (Chi hoạt động khám chữa bệnh tuyến tỉnh/huyện; chi thường xuyên không giao tự chủ).</t>
  </si>
  <si>
    <t xml:space="preserve">Phụ cấp nhân viên y tế thôn bản </t>
  </si>
  <si>
    <t xml:space="preserve">Thuê nhà TYT Nghĩa Đức và Nghĩa Thành của TTYT TP Gia Nghĩa </t>
  </si>
  <si>
    <t>Trả nợ cho công trình: Nâng cấp, sửa chữa thu gom nước thải, chống thấm và thay thế một số cửa các khu điều trị Bệnh viện đa khoa tỉnh Đăk Nông phục vụ Chương trình hợp tác y tế, y tế thành phố Hồ Chí Minh (Phần còn thiếu so với giá trị phê duyệt quyết toán dự án hoàn thành)</t>
  </si>
  <si>
    <t>Mua sắm máy MRI 1,5 Tesla cho BVĐK tỉnh</t>
  </si>
  <si>
    <t xml:space="preserve">Mua sắm hệ thống lọc nước tinh khiết cho TTYT huyện phục vụ sinh hoạt cho bệnh nhân </t>
  </si>
  <si>
    <t>Mua sắm trang thiết bị y tế cho Trạm Y tế xã theo tiêu chuẩn (30 Trạm Y tế xã</t>
  </si>
  <si>
    <t xml:space="preserve">Chi sự nghiệp giáo dục, đào tạo, dạy nghề </t>
  </si>
  <si>
    <t xml:space="preserve">Cung cấp dịch vụ công: Thực hiện nhiệm vụ khám, chữa bệnh, phục hồi chức năng  </t>
  </si>
  <si>
    <t xml:space="preserve">Cung cấp dịch vụ công: Thực hiện nhiệm vụ kiểm nghiệm, kiểm định; Dịch vụ giám định và Dịch vụ y tế khác </t>
  </si>
  <si>
    <t xml:space="preserve">Dự án '' Phát triển mô hình chăm sóc mắt tuyến huyện '' tại tủnh Đăk Nông giai đoạn 2021-2024 do Quỹ Frend Hollows, Bộ Ngoại giao và Thương mại Úc tài trợ </t>
  </si>
  <si>
    <t>Mã số đơn vị sử dụng NSNN</t>
  </si>
  <si>
    <t>1100219</t>
  </si>
  <si>
    <t>1091529</t>
  </si>
  <si>
    <t>1053570</t>
  </si>
  <si>
    <t>1098321</t>
  </si>
  <si>
    <t>1120420</t>
  </si>
  <si>
    <t>1127709</t>
  </si>
  <si>
    <t>1127653</t>
  </si>
  <si>
    <t>1127657</t>
  </si>
  <si>
    <t>1127655</t>
  </si>
  <si>
    <t>1127656</t>
  </si>
  <si>
    <t>1127654</t>
  </si>
  <si>
    <t>1127650</t>
  </si>
  <si>
    <t>1127652</t>
  </si>
  <si>
    <t>1127651</t>
  </si>
  <si>
    <t>303915</t>
  </si>
  <si>
    <t>1132259</t>
  </si>
  <si>
    <t>1131425</t>
  </si>
  <si>
    <t>Mã số Kho bạc Nhà nước nơi giao dịch</t>
  </si>
  <si>
    <t>3062</t>
  </si>
  <si>
    <t>3063</t>
  </si>
  <si>
    <t>3064</t>
  </si>
  <si>
    <t>3065</t>
  </si>
  <si>
    <t>3066</t>
  </si>
  <si>
    <t>3067</t>
  </si>
  <si>
    <t>3068</t>
  </si>
  <si>
    <t>3061</t>
  </si>
  <si>
    <t>Chương trình Mục tiêu Quốc gia Phát triển kinh tế - xã hội vùng đồng bào dân tộc thiểu số và miền núi (Dự án 7: Chăm sóc sức khỏe nhân dân, nâng cao thể trạng, tầm vóc người dân tộc thiểu số, phòng chống suy dinh dưỡng trẻ em; Mã chương trình: 0510, mã số tiểu chương trình: 0517)</t>
  </si>
  <si>
    <t>Trả nợ cho công trình: Nâng cấp, sửa chữa Bệnh viện đa khoa huyện Đăk Song, hạng mục: Xây dựng nhà khám đa khoa và hệ thống khí y tế (Phần còn thiếu so với giá trị phê duyệt quyết toán dự án hoàn thành)</t>
  </si>
  <si>
    <t>Trang bị hệ thống camera giám sát tại tuyến xã và hệ thống khám chữa bệnh từ xa phục vụ công tác khám chữa bệnh của các đơn vị sự nghiệp theo Công điện số 597/CĐ-BCĐ ngày 05/05/2021 và Công văn số 1410/BTTTT-CVT ngày 06/5/2021)</t>
  </si>
  <si>
    <t>Hỗ trợ kinh phí duy tu, bảo dưỡng trang thiết bị y tế cho các đơn vị trực thuộc (08 TTYT huyện/thành phố; Bệnh viện đa khoa tỉnh và Trung tâm kiểm soát bệnh tật tỉnh Đăk Nông)</t>
  </si>
  <si>
    <t>Lương và chi khác theo quy định (Chi hoạt động khám chữa bệnh tuyến xã; chi thường xuyên không giao tự chủ).</t>
  </si>
  <si>
    <t>Đào tạo theo định mức</t>
  </si>
  <si>
    <t>Kinh phí thăm, tặng quà tết năm 2023</t>
  </si>
  <si>
    <t>Kinh phí còn lại chưa phân bổ</t>
  </si>
  <si>
    <t>Cung cấp dịch vụ công: Thực hiện nhiệm vụ y tế dự phòng và chăm sóc sức khỏe nhân dân</t>
  </si>
  <si>
    <t>ĐVT: 1.000 Đồng</t>
  </si>
  <si>
    <t>Số tt</t>
  </si>
  <si>
    <t>NỘI DUNG</t>
  </si>
  <si>
    <t>GHI CHÚ</t>
  </si>
  <si>
    <t>Số Quyết định</t>
  </si>
  <si>
    <t xml:space="preserve">Ngày, tháng và năm </t>
  </si>
  <si>
    <t>Dự toán năm trước chuyển sang</t>
  </si>
  <si>
    <t xml:space="preserve">Dự toán giao đầu năm </t>
  </si>
  <si>
    <t xml:space="preserve">Dự toán bổ sung </t>
  </si>
  <si>
    <t>Dự toán điều chỉnh giảm</t>
  </si>
  <si>
    <t>Dự toán sau điều chỉnh, bổ sung</t>
  </si>
  <si>
    <t>QUẢN LÝ NHÀ NƯỚC</t>
  </si>
  <si>
    <t>Lương và chi khác theo định mức</t>
  </si>
  <si>
    <t>Kinh phí may trang phục thanh  tra</t>
  </si>
  <si>
    <t xml:space="preserve">Hỗ trợ hoạt động đại biểu HĐND </t>
  </si>
  <si>
    <t>Phụ cấp dân quân tự vệ</t>
  </si>
  <si>
    <t>SỰ NGHIỆP Y TẾ</t>
  </si>
  <si>
    <t>Kinh phí thường xuyên</t>
  </si>
  <si>
    <t>Kinh phí không thường xuyên</t>
  </si>
  <si>
    <t>2.3</t>
  </si>
  <si>
    <t>2.4</t>
  </si>
  <si>
    <t>2.5</t>
  </si>
  <si>
    <t>2.6</t>
  </si>
  <si>
    <t>2.7</t>
  </si>
  <si>
    <t>2.8</t>
  </si>
  <si>
    <t>2.9</t>
  </si>
  <si>
    <t>2.10</t>
  </si>
  <si>
    <t>III</t>
  </si>
  <si>
    <t>SỰ NGHIỆP ĐÀO TẠO</t>
  </si>
  <si>
    <t>DỰ TOÁN ĐƯỢC GIAO NĂM 2023</t>
  </si>
  <si>
    <t>Đào tạo theo định mức bổ sung</t>
  </si>
  <si>
    <t>Đào tạo theo định mức giao đầu năm</t>
  </si>
  <si>
    <t>724/QĐ-UBND</t>
  </si>
  <si>
    <t>Tổng cộng</t>
  </si>
  <si>
    <t>Dự toán bổ sung</t>
  </si>
  <si>
    <t>DỰ TOÁN GIAO ĐẦU NĂM</t>
  </si>
  <si>
    <t>Cộng</t>
  </si>
  <si>
    <t>51/QĐ-UBND</t>
  </si>
  <si>
    <t>2129/QDD-UBND</t>
  </si>
  <si>
    <t>2.11</t>
  </si>
  <si>
    <t>2.12</t>
  </si>
  <si>
    <t>2.13</t>
  </si>
  <si>
    <t>2.14</t>
  </si>
  <si>
    <t>2.15</t>
  </si>
  <si>
    <t>2.16</t>
  </si>
  <si>
    <t>2.17</t>
  </si>
  <si>
    <t>2.18</t>
  </si>
  <si>
    <t xml:space="preserve">Bổ sung kinh phí phòng, chống dịch Covid -19 </t>
  </si>
  <si>
    <t xml:space="preserve">822/QĐ-UBND </t>
  </si>
  <si>
    <t xml:space="preserve">999/QĐ-UBND </t>
  </si>
  <si>
    <t>Kinh phí thực hiện nhiệm vụ chuyển đổi số tỉnh Đăk Nông năm 2023</t>
  </si>
  <si>
    <t>Kinh phí phòng, chống dịch Covid - 19</t>
  </si>
  <si>
    <t>Chương trình mục tiêu quốc gia xây dựng nông thôn mới năm 2023</t>
  </si>
  <si>
    <t>1146/QĐ-UBND</t>
  </si>
  <si>
    <t xml:space="preserve">Kinh phí tổ chức hoạt động kỷ niệm 20 năm ngày tái lập tỉnh </t>
  </si>
  <si>
    <t>Hỗ trợ thực hiện các hoạt động nâng cao chất lượng khám, chữa bệnh chăm sóc sức khỏe nhân dân trên địa bàn tỉnh; Kiểm tra các cơ sở hành nghề y, dược tư nhân; Kiểm tra việc thực hiện các quy định về ATTP trên địa bàn tỉnh; thực hiện đánh giá tiêu chí chất lượng tại các Bệnh viện, TTYT, Giám sát chất lượng thuốc, mỹ phẩm, lấy mẫu tại cơ sở kinh doanh thuốc, các cơ sở KCB tham dự các đợt tập huấn, hội nghị, cuộc họp do Trung ương tổ chức</t>
  </si>
  <si>
    <t>Kinh phí phòng, chống dịch bệnh Bạch hầu còn thiếu năm 2021</t>
  </si>
  <si>
    <t>Triển khai chiến dịch tiêm/uống vắc xin bại liệt (bOPV), Sởi - Rubella (MR), trên địa bàn tỉnh Đăk Nông năm 2022</t>
  </si>
  <si>
    <t>Triển khai vắc xin bại liệt tiêm mũi (PPV2) cho trẻ em dưới 01 tuổi trong chương trình tiêm chủng mở rộng trên địa bàn tỉnh Đăk Nông năm 2022</t>
  </si>
  <si>
    <t xml:space="preserve">Bổ sung kinh phí cho công trình bệnh án điện tử cho BVĐK tỉnh và BVĐK huyện Đăk Rlấp </t>
  </si>
  <si>
    <t xml:space="preserve">Bổ sung kinh phí hệ thống Camera theo dõi và giám sát bệnh nhân cho BVĐK tuyến huyện </t>
  </si>
  <si>
    <t xml:space="preserve">Bổ sung kinh phí khám, chữa
bệnh cấp phát thuốc miễn phí tại
tỉnh Mondulkiri, Campuchia </t>
  </si>
  <si>
    <t>Bổ sung dự toán chi thường xuyên năm 2023 để đơn vị thực hiện chính sách cải cách tiền lương theo Nghị định số 24/2023/NĐ-CP ngày 14/5/2023</t>
  </si>
  <si>
    <t>Bổ sung dự toán năm 2023 để thực hiện chi trả phụ cấp ưu đãi nghề năm 2022, năm 2023 theo Nghị định số 05/2023/NĐ-CP ngày 15/02/2023 của Chính phủ</t>
  </si>
  <si>
    <t>Bổ sung kinh phí tổ chức các hoạt động Kỷ niệm 20 năm Ngày tái thành lập tỉnh Đăk Nông (01/01/2004-01/01/2024)</t>
  </si>
  <si>
    <t>1509/QĐ-UBND</t>
  </si>
  <si>
    <t xml:space="preserve">1517/QĐ-UBND </t>
  </si>
  <si>
    <t>1507/QĐ-UBND</t>
  </si>
  <si>
    <t>Cung cấp dịch vụ công: Thực hiện nhiệm vụ y tế dự phòng và chăm sóc sức khỏe ban đầu</t>
  </si>
  <si>
    <t xml:space="preserve">1536/QĐ-UBND </t>
  </si>
  <si>
    <t xml:space="preserve">1529/QĐ-UBND </t>
  </si>
  <si>
    <t xml:space="preserve">TỔNG HỢP CÔNG KHAI DỰ TOÁN THU, CHI CỦA 12 THÁNG NĂM 2023 THEO QUYẾT ĐỊNH CỦA UBND TỈNH </t>
  </si>
  <si>
    <t>(Kèm theo Quyết định số                    ngày         tháng 01 năm 2024 của Sở Y tế tỉnh Đăk Nông)</t>
  </si>
  <si>
    <t>(Kèm theo Quyết định số                ngày               tháng  01 năm 2024 của Sở Y tế Đăk Nông)</t>
  </si>
  <si>
    <t>Bổ sung kinh phí cho các cơ quan, đơn vị để thực hiện chính sách cải cách tiền lương năm 2023</t>
  </si>
  <si>
    <t>Giao dự toán kinh phí sự nghiệp nguồn ngân sách địa phương thực hiện Chương trình mục tiêu quốc gia xây dựng nông thôn mới năm 2023 trên địa bàn tỉnh Đăk Nông</t>
  </si>
  <si>
    <t>Giao dự toán kinh phí sự nghiệp nguồn ngân sách Trung ương thực hiện Chương trình mục tiêu quốc gia xây dựng nông thôn mới năm 2023 trên địa bàn tỉnh Đăk Nông</t>
  </si>
  <si>
    <t xml:space="preserve"> CÔNG KHAI DỰ TOÁN THU, CHI NGÂN SÁCH NHÀ NƯỚC CỦA 12 THÁNG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</si>
</sst>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 #,##0_)\ _đ_ ;_ * \(#,##0\)\ _đ_ ;_ * &quot;-&quot;??_)\ _đ_ ;_ @_ "/>
    <numFmt numFmtId="167" formatCode="_ * #,##0.00_)\ _đ_ ;_ * \(#,##0.00\)\ _đ_ ;_ * &quot;-&quot;??_)\ _đ_ ;_ @_ "/>
  </numFmts>
  <fonts count="16" x14ac:knownFonts="1">
    <font>
      <sz val="12"/>
      <color theme="1"/>
      <name val="Times New Roman"/>
      <family val="2"/>
    </font>
    <font>
      <sz val="12"/>
      <color theme="1"/>
      <name val="Times New Roman"/>
      <family val="2"/>
    </font>
    <font>
      <sz val="10"/>
      <name val="Arial"/>
      <family val="2"/>
    </font>
    <font>
      <b/>
      <sz val="12"/>
      <color theme="1"/>
      <name val="Times New Roman"/>
      <family val="1"/>
    </font>
    <font>
      <i/>
      <sz val="12"/>
      <color theme="1"/>
      <name val="Times New Roman"/>
      <family val="1"/>
    </font>
    <font>
      <sz val="12"/>
      <color theme="1"/>
      <name val="Times New Roman"/>
      <family val="1"/>
    </font>
    <font>
      <sz val="11"/>
      <name val="Times New Roman"/>
      <family val="1"/>
    </font>
    <font>
      <sz val="12"/>
      <color theme="1"/>
      <name val="Times New Roman"/>
      <family val="2"/>
      <charset val="1"/>
    </font>
    <font>
      <b/>
      <i/>
      <sz val="12"/>
      <color theme="1"/>
      <name val="Times New Roman"/>
      <family val="1"/>
    </font>
    <font>
      <b/>
      <sz val="14"/>
      <color theme="1"/>
      <name val="Times New Roman"/>
      <family val="1"/>
    </font>
    <font>
      <i/>
      <sz val="14"/>
      <color theme="1"/>
      <name val="Times New Roman"/>
      <family val="1"/>
    </font>
    <font>
      <b/>
      <sz val="16"/>
      <color theme="1"/>
      <name val="Times New Roman"/>
      <family val="1"/>
    </font>
    <font>
      <i/>
      <sz val="16"/>
      <color theme="1"/>
      <name val="Times New Roman"/>
      <family val="1"/>
    </font>
    <font>
      <b/>
      <u/>
      <sz val="16"/>
      <color theme="1"/>
      <name val="Times New Roman"/>
      <family val="1"/>
    </font>
    <font>
      <i/>
      <sz val="13"/>
      <color theme="1"/>
      <name val="Times New Roman"/>
      <family val="1"/>
    </font>
    <font>
      <sz val="13"/>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s>
  <cellStyleXfs count="7">
    <xf numFmtId="0" fontId="0"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7" fontId="6" fillId="0" borderId="0" applyFont="0" applyFill="0" applyBorder="0" applyAlignment="0" applyProtection="0"/>
    <xf numFmtId="0" fontId="7" fillId="0" borderId="0"/>
    <xf numFmtId="0" fontId="6" fillId="0" borderId="0"/>
  </cellStyleXfs>
  <cellXfs count="120">
    <xf numFmtId="0" fontId="0" fillId="0" borderId="0" xfId="0"/>
    <xf numFmtId="165" fontId="3" fillId="2" borderId="0" xfId="2" applyNumberFormat="1" applyFont="1" applyFill="1"/>
    <xf numFmtId="165" fontId="3" fillId="2" borderId="0" xfId="2" applyNumberFormat="1" applyFont="1" applyFill="1" applyAlignment="1">
      <alignment horizontal="right"/>
    </xf>
    <xf numFmtId="165" fontId="3" fillId="2" borderId="0" xfId="2" applyNumberFormat="1" applyFont="1" applyFill="1" applyAlignment="1">
      <alignment vertical="center"/>
    </xf>
    <xf numFmtId="165" fontId="5" fillId="2" borderId="0" xfId="2" applyNumberFormat="1" applyFont="1" applyFill="1" applyAlignment="1">
      <alignment vertical="center"/>
    </xf>
    <xf numFmtId="165" fontId="3" fillId="2" borderId="0" xfId="2" applyNumberFormat="1" applyFont="1" applyFill="1" applyAlignment="1">
      <alignment horizontal="center"/>
    </xf>
    <xf numFmtId="165" fontId="4" fillId="2" borderId="0" xfId="2" applyNumberFormat="1" applyFont="1" applyFill="1" applyAlignment="1">
      <alignment vertical="center"/>
    </xf>
    <xf numFmtId="0" fontId="5" fillId="2" borderId="0" xfId="0" applyFont="1" applyFill="1"/>
    <xf numFmtId="37" fontId="8" fillId="2" borderId="1" xfId="2" applyNumberFormat="1" applyFont="1" applyFill="1" applyBorder="1" applyAlignment="1"/>
    <xf numFmtId="165" fontId="3" fillId="2" borderId="2" xfId="2" applyNumberFormat="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165" fontId="5" fillId="2" borderId="3" xfId="2" applyNumberFormat="1" applyFont="1" applyFill="1" applyBorder="1" applyAlignment="1">
      <alignment horizontal="center" vertical="center"/>
    </xf>
    <xf numFmtId="166" fontId="5" fillId="2" borderId="3" xfId="1" applyNumberFormat="1" applyFont="1" applyFill="1" applyBorder="1" applyAlignment="1">
      <alignment horizontal="center" vertical="center"/>
    </xf>
    <xf numFmtId="166" fontId="5" fillId="2" borderId="3" xfId="1" applyNumberFormat="1"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3" fillId="2" borderId="6" xfId="0" applyFont="1" applyFill="1" applyBorder="1" applyAlignment="1">
      <alignment vertical="center" wrapText="1"/>
    </xf>
    <xf numFmtId="165" fontId="3" fillId="2" borderId="6" xfId="1" applyNumberFormat="1" applyFont="1" applyFill="1" applyBorder="1" applyAlignment="1">
      <alignment vertical="center"/>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165" fontId="3" fillId="2" borderId="7" xfId="1" applyNumberFormat="1" applyFont="1" applyFill="1" applyBorder="1" applyAlignment="1">
      <alignment vertical="center"/>
    </xf>
    <xf numFmtId="0" fontId="5" fillId="2" borderId="7" xfId="0" applyFont="1" applyFill="1" applyBorder="1" applyAlignment="1">
      <alignment horizontal="center" vertical="center" wrapText="1"/>
    </xf>
    <xf numFmtId="0" fontId="5" fillId="2" borderId="7" xfId="0" applyFont="1" applyFill="1" applyBorder="1" applyAlignment="1">
      <alignment vertical="center" wrapText="1"/>
    </xf>
    <xf numFmtId="165" fontId="5" fillId="2" borderId="7" xfId="1" applyNumberFormat="1" applyFont="1" applyFill="1" applyBorder="1" applyAlignment="1">
      <alignment vertical="center"/>
    </xf>
    <xf numFmtId="0" fontId="4" fillId="2" borderId="7" xfId="0" applyFont="1" applyFill="1" applyBorder="1" applyAlignment="1">
      <alignment horizontal="center" vertical="center" wrapText="1"/>
    </xf>
    <xf numFmtId="165" fontId="4" fillId="2" borderId="7" xfId="2" applyNumberFormat="1" applyFont="1" applyFill="1" applyBorder="1" applyAlignment="1">
      <alignment vertical="center" wrapText="1"/>
    </xf>
    <xf numFmtId="165" fontId="4" fillId="2" borderId="7" xfId="1" applyNumberFormat="1" applyFont="1" applyFill="1" applyBorder="1" applyAlignment="1">
      <alignment vertical="center"/>
    </xf>
    <xf numFmtId="0" fontId="4" fillId="2" borderId="7" xfId="0" applyFont="1" applyFill="1" applyBorder="1" applyAlignment="1">
      <alignment vertical="center" wrapText="1"/>
    </xf>
    <xf numFmtId="0" fontId="4" fillId="2" borderId="7" xfId="2" applyNumberFormat="1" applyFont="1" applyFill="1" applyBorder="1" applyAlignment="1">
      <alignment vertical="center" wrapText="1"/>
    </xf>
    <xf numFmtId="49" fontId="4" fillId="2" borderId="7" xfId="2" applyNumberFormat="1" applyFont="1" applyFill="1" applyBorder="1" applyAlignment="1">
      <alignment vertical="center" wrapText="1"/>
    </xf>
    <xf numFmtId="0" fontId="4" fillId="2" borderId="7" xfId="0" applyFont="1" applyFill="1" applyBorder="1" applyAlignment="1">
      <alignment horizontal="left" vertical="center" wrapText="1"/>
    </xf>
    <xf numFmtId="3" fontId="3" fillId="2" borderId="7" xfId="2" applyNumberFormat="1" applyFont="1" applyFill="1" applyBorder="1" applyAlignment="1">
      <alignment vertical="center"/>
    </xf>
    <xf numFmtId="49" fontId="3" fillId="2" borderId="7" xfId="2" applyNumberFormat="1" applyFont="1" applyFill="1" applyBorder="1" applyAlignment="1">
      <alignment horizontal="right" vertical="center"/>
    </xf>
    <xf numFmtId="0" fontId="5" fillId="2" borderId="8" xfId="0" applyFont="1" applyFill="1" applyBorder="1" applyAlignment="1">
      <alignment horizontal="center" vertical="center" wrapText="1"/>
    </xf>
    <xf numFmtId="0" fontId="3" fillId="2" borderId="8" xfId="0" applyFont="1" applyFill="1" applyBorder="1" applyAlignment="1">
      <alignment vertical="center" wrapText="1"/>
    </xf>
    <xf numFmtId="3" fontId="3" fillId="2" borderId="8" xfId="2" applyNumberFormat="1" applyFont="1" applyFill="1" applyBorder="1" applyAlignment="1">
      <alignment vertical="center"/>
    </xf>
    <xf numFmtId="49" fontId="3" fillId="2" borderId="8" xfId="2" applyNumberFormat="1" applyFont="1" applyFill="1" applyBorder="1" applyAlignment="1">
      <alignment horizontal="right" vertical="center"/>
    </xf>
    <xf numFmtId="0" fontId="13" fillId="2" borderId="0" xfId="0" applyFont="1" applyFill="1" applyAlignment="1">
      <alignment horizontal="center"/>
    </xf>
    <xf numFmtId="165" fontId="5" fillId="2" borderId="0" xfId="2" applyNumberFormat="1" applyFont="1" applyFill="1"/>
    <xf numFmtId="165" fontId="8" fillId="2" borderId="0" xfId="2" applyNumberFormat="1" applyFont="1" applyFill="1" applyAlignment="1">
      <alignment horizontal="right"/>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xf>
    <xf numFmtId="165" fontId="3"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xf>
    <xf numFmtId="0" fontId="5" fillId="2" borderId="7" xfId="0" applyFont="1" applyFill="1" applyBorder="1" applyAlignment="1">
      <alignment horizontal="left" vertical="center" wrapText="1"/>
    </xf>
    <xf numFmtId="49" fontId="5" fillId="2" borderId="7" xfId="2" applyNumberFormat="1" applyFont="1" applyFill="1" applyBorder="1" applyAlignment="1">
      <alignment horizontal="center"/>
    </xf>
    <xf numFmtId="14" fontId="5" fillId="2" borderId="7" xfId="0" applyNumberFormat="1" applyFont="1" applyFill="1" applyBorder="1" applyAlignment="1">
      <alignment horizontal="center"/>
    </xf>
    <xf numFmtId="165" fontId="5" fillId="2" borderId="7" xfId="2" applyNumberFormat="1" applyFont="1" applyFill="1" applyBorder="1" applyAlignment="1">
      <alignment horizontal="center"/>
    </xf>
    <xf numFmtId="165" fontId="5" fillId="2" borderId="7" xfId="2" applyNumberFormat="1" applyFont="1" applyFill="1" applyBorder="1"/>
    <xf numFmtId="165" fontId="3" fillId="2" borderId="7" xfId="2" applyNumberFormat="1" applyFont="1" applyFill="1" applyBorder="1" applyAlignment="1">
      <alignment horizontal="right"/>
    </xf>
    <xf numFmtId="165" fontId="5" fillId="2" borderId="7" xfId="2" applyNumberFormat="1" applyFont="1" applyFill="1" applyBorder="1" applyAlignment="1">
      <alignment horizontal="right"/>
    </xf>
    <xf numFmtId="0" fontId="5" fillId="2" borderId="7" xfId="0" applyFont="1" applyFill="1" applyBorder="1"/>
    <xf numFmtId="165" fontId="5" fillId="2" borderId="7" xfId="2" applyNumberFormat="1" applyFont="1" applyFill="1" applyBorder="1" applyAlignment="1">
      <alignment wrapText="1"/>
    </xf>
    <xf numFmtId="0" fontId="3" fillId="2" borderId="7" xfId="0" applyFont="1" applyFill="1" applyBorder="1" applyAlignment="1">
      <alignment horizontal="left" vertical="center" wrapText="1"/>
    </xf>
    <xf numFmtId="49" fontId="3" fillId="2" borderId="7" xfId="2"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65" fontId="3" fillId="2" borderId="7" xfId="2" applyNumberFormat="1" applyFont="1" applyFill="1" applyBorder="1" applyAlignment="1">
      <alignment horizontal="center"/>
    </xf>
    <xf numFmtId="0" fontId="3" fillId="2" borderId="7" xfId="0" applyFont="1" applyFill="1" applyBorder="1" applyAlignment="1">
      <alignment horizontal="center"/>
    </xf>
    <xf numFmtId="0" fontId="3" fillId="2" borderId="7" xfId="0" applyFont="1" applyFill="1" applyBorder="1"/>
    <xf numFmtId="49" fontId="3" fillId="2" borderId="7" xfId="2" applyNumberFormat="1" applyFont="1" applyFill="1" applyBorder="1" applyAlignment="1">
      <alignment horizontal="center"/>
    </xf>
    <xf numFmtId="14" fontId="3" fillId="2" borderId="7" xfId="0" applyNumberFormat="1" applyFont="1" applyFill="1" applyBorder="1" applyAlignment="1">
      <alignment horizontal="center"/>
    </xf>
    <xf numFmtId="0" fontId="3" fillId="2" borderId="0" xfId="0" applyFont="1" applyFill="1"/>
    <xf numFmtId="165" fontId="4" fillId="2" borderId="7" xfId="2" applyNumberFormat="1" applyFont="1" applyFill="1" applyBorder="1" applyAlignment="1">
      <alignment horizontal="center" vertical="center" wrapText="1"/>
    </xf>
    <xf numFmtId="49" fontId="4" fillId="2" borderId="7" xfId="2" applyNumberFormat="1" applyFont="1" applyFill="1" applyBorder="1" applyAlignment="1">
      <alignment horizontal="center"/>
    </xf>
    <xf numFmtId="14" fontId="4" fillId="2" borderId="7" xfId="0" applyNumberFormat="1" applyFont="1" applyFill="1" applyBorder="1" applyAlignment="1">
      <alignment horizontal="center"/>
    </xf>
    <xf numFmtId="0" fontId="4" fillId="2" borderId="0" xfId="0" applyFont="1" applyFill="1"/>
    <xf numFmtId="2" fontId="3" fillId="2" borderId="7" xfId="0" applyNumberFormat="1" applyFont="1" applyFill="1" applyBorder="1" applyAlignment="1">
      <alignment horizontal="justify" wrapText="1"/>
    </xf>
    <xf numFmtId="3" fontId="5" fillId="2" borderId="7" xfId="0" applyNumberFormat="1" applyFont="1" applyFill="1" applyBorder="1" applyAlignment="1">
      <alignment horizontal="right" vertical="center" wrapText="1"/>
    </xf>
    <xf numFmtId="3" fontId="5" fillId="2" borderId="7" xfId="2" applyNumberFormat="1" applyFont="1" applyFill="1" applyBorder="1" applyAlignment="1">
      <alignment horizontal="right"/>
    </xf>
    <xf numFmtId="165" fontId="3" fillId="2" borderId="7" xfId="2" applyNumberFormat="1" applyFont="1" applyFill="1" applyBorder="1"/>
    <xf numFmtId="3" fontId="3" fillId="2" borderId="7" xfId="0" applyNumberFormat="1" applyFont="1" applyFill="1" applyBorder="1"/>
    <xf numFmtId="0" fontId="3" fillId="2" borderId="8" xfId="0" applyFont="1" applyFill="1" applyBorder="1" applyAlignment="1">
      <alignment horizontal="center"/>
    </xf>
    <xf numFmtId="0" fontId="3" fillId="2" borderId="8" xfId="0" applyFont="1" applyFill="1" applyBorder="1"/>
    <xf numFmtId="49" fontId="3" fillId="2" borderId="8" xfId="2" applyNumberFormat="1" applyFont="1" applyFill="1" applyBorder="1" applyAlignment="1">
      <alignment horizontal="center"/>
    </xf>
    <xf numFmtId="14" fontId="3" fillId="2" borderId="8" xfId="0" applyNumberFormat="1" applyFont="1" applyFill="1" applyBorder="1" applyAlignment="1">
      <alignment horizontal="center"/>
    </xf>
    <xf numFmtId="3" fontId="3" fillId="2" borderId="8" xfId="0" applyNumberFormat="1" applyFont="1" applyFill="1" applyBorder="1"/>
    <xf numFmtId="165" fontId="3" fillId="2" borderId="8" xfId="2" applyNumberFormat="1" applyFont="1" applyFill="1" applyBorder="1" applyAlignment="1">
      <alignment horizontal="right"/>
    </xf>
    <xf numFmtId="165" fontId="5" fillId="2" borderId="7" xfId="2" applyNumberFormat="1" applyFont="1" applyFill="1" applyBorder="1" applyAlignment="1">
      <alignment vertical="center" wrapText="1"/>
    </xf>
    <xf numFmtId="49" fontId="5" fillId="2" borderId="7" xfId="2" applyNumberFormat="1" applyFont="1" applyFill="1" applyBorder="1" applyAlignment="1">
      <alignment vertical="center" wrapText="1"/>
    </xf>
    <xf numFmtId="165" fontId="5" fillId="2" borderId="7" xfId="2" applyNumberFormat="1" applyFont="1" applyFill="1" applyBorder="1" applyAlignment="1">
      <alignment horizontal="center" vertical="center" wrapText="1"/>
    </xf>
    <xf numFmtId="49" fontId="5" fillId="2" borderId="7" xfId="2"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3" fontId="5" fillId="2" borderId="7" xfId="2" applyNumberFormat="1" applyFont="1" applyFill="1" applyBorder="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0" fontId="5" fillId="2" borderId="7" xfId="2" applyNumberFormat="1" applyFont="1" applyFill="1" applyBorder="1" applyAlignment="1">
      <alignment vertical="center" wrapText="1"/>
    </xf>
    <xf numFmtId="0" fontId="3" fillId="2" borderId="3" xfId="0" applyFont="1" applyFill="1" applyBorder="1" applyAlignment="1">
      <alignment horizontal="left" vertical="center"/>
    </xf>
    <xf numFmtId="165" fontId="3" fillId="2" borderId="3" xfId="0" applyNumberFormat="1" applyFont="1" applyFill="1" applyBorder="1" applyAlignment="1">
      <alignment horizontal="center" vertical="center" wrapText="1"/>
    </xf>
    <xf numFmtId="3" fontId="4" fillId="2" borderId="7" xfId="2" applyNumberFormat="1" applyFont="1" applyFill="1" applyBorder="1" applyAlignment="1"/>
    <xf numFmtId="0" fontId="14" fillId="2" borderId="7" xfId="0" applyFont="1" applyFill="1" applyBorder="1" applyAlignment="1">
      <alignment vertical="center" wrapText="1"/>
    </xf>
    <xf numFmtId="165" fontId="14" fillId="2" borderId="7" xfId="2" applyNumberFormat="1" applyFont="1" applyFill="1" applyBorder="1" applyAlignment="1">
      <alignment wrapText="1"/>
    </xf>
    <xf numFmtId="0" fontId="15" fillId="2" borderId="7" xfId="0" applyFont="1" applyFill="1" applyBorder="1" applyAlignment="1">
      <alignment vertical="center" wrapText="1"/>
    </xf>
    <xf numFmtId="165" fontId="15" fillId="2" borderId="7" xfId="2" applyNumberFormat="1" applyFont="1" applyFill="1" applyBorder="1" applyAlignment="1">
      <alignment wrapText="1"/>
    </xf>
    <xf numFmtId="0" fontId="15" fillId="2" borderId="7" xfId="0" applyFont="1" applyFill="1" applyBorder="1" applyAlignment="1">
      <alignment horizontal="left" vertical="center" wrapText="1"/>
    </xf>
    <xf numFmtId="0" fontId="15" fillId="2" borderId="7" xfId="0" applyFont="1" applyFill="1" applyBorder="1" applyAlignment="1">
      <alignment horizontal="justify" vertical="center" wrapText="1"/>
    </xf>
    <xf numFmtId="0" fontId="3" fillId="2" borderId="2" xfId="0"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0" fontId="13" fillId="2" borderId="0" xfId="0" applyFont="1" applyFill="1" applyAlignment="1">
      <alignment horizontal="center"/>
    </xf>
    <xf numFmtId="0" fontId="9" fillId="2" borderId="0" xfId="0" applyFont="1" applyFill="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0" xfId="0" applyFont="1" applyFill="1" applyAlignment="1">
      <alignment horizont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65" fontId="3" fillId="2" borderId="3" xfId="2" applyNumberFormat="1" applyFont="1" applyFill="1" applyBorder="1" applyAlignment="1">
      <alignment horizontal="center" vertical="center"/>
    </xf>
    <xf numFmtId="165" fontId="3" fillId="2" borderId="3" xfId="2" applyNumberFormat="1"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0" xfId="0" applyFont="1" applyFill="1" applyAlignment="1">
      <alignment horizontal="left" vertical="center" wrapText="1"/>
    </xf>
    <xf numFmtId="0" fontId="3" fillId="2" borderId="0" xfId="0" applyFont="1" applyFill="1" applyAlignment="1">
      <alignment horizontal="right"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37" fontId="4" fillId="2" borderId="1" xfId="2" applyNumberFormat="1" applyFont="1" applyFill="1" applyBorder="1" applyAlignment="1">
      <alignment horizontal="right"/>
    </xf>
    <xf numFmtId="165" fontId="3" fillId="2" borderId="2" xfId="2" applyNumberFormat="1" applyFont="1" applyFill="1" applyBorder="1" applyAlignment="1">
      <alignment horizontal="center" vertical="center"/>
    </xf>
    <xf numFmtId="165" fontId="3" fillId="2" borderId="4" xfId="2" applyNumberFormat="1" applyFont="1" applyFill="1" applyBorder="1" applyAlignment="1">
      <alignment horizontal="center" vertical="center"/>
    </xf>
    <xf numFmtId="0" fontId="5" fillId="0" borderId="9" xfId="0" applyFont="1" applyBorder="1" applyAlignment="1">
      <alignment horizontal="left" vertical="center" wrapText="1"/>
    </xf>
    <xf numFmtId="0" fontId="4" fillId="2" borderId="0" xfId="0" applyFont="1" applyFill="1" applyAlignment="1">
      <alignment horizontal="left" vertical="center" wrapText="1"/>
    </xf>
    <xf numFmtId="0" fontId="14" fillId="2" borderId="7" xfId="0" applyFont="1" applyFill="1" applyBorder="1" applyAlignment="1">
      <alignment horizontal="left" vertical="center" wrapText="1"/>
    </xf>
    <xf numFmtId="0" fontId="14" fillId="2" borderId="7" xfId="0" applyFont="1" applyFill="1" applyBorder="1" applyAlignment="1">
      <alignment horizontal="justify" vertical="center" wrapText="1"/>
    </xf>
  </cellXfs>
  <cellStyles count="7">
    <cellStyle name="Comma" xfId="1" builtinId="3"/>
    <cellStyle name="Comma 12" xfId="2"/>
    <cellStyle name="Comma 20" xfId="3"/>
    <cellStyle name="Comma 5" xfId="4"/>
    <cellStyle name="Normal" xfId="0" builtinId="0"/>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topLeftCell="A51" workbookViewId="0">
      <selection activeCell="E61" sqref="E61"/>
    </sheetView>
  </sheetViews>
  <sheetFormatPr defaultRowHeight="15.75" x14ac:dyDescent="0.25"/>
  <cols>
    <col min="1" max="1" width="5.375" style="7" customWidth="1"/>
    <col min="2" max="2" width="35.25" style="7" customWidth="1"/>
    <col min="3" max="3" width="13.125" style="7" customWidth="1"/>
    <col min="4" max="4" width="11.875" style="7" customWidth="1"/>
    <col min="5" max="9" width="15.5" style="7" customWidth="1"/>
    <col min="10" max="10" width="13.25" style="7" customWidth="1"/>
    <col min="11" max="205" width="9" style="7"/>
    <col min="206" max="206" width="5.375" style="7" customWidth="1"/>
    <col min="207" max="207" width="35.25" style="7" customWidth="1"/>
    <col min="208" max="208" width="13.125" style="7" customWidth="1"/>
    <col min="209" max="209" width="11.875" style="7" customWidth="1"/>
    <col min="210" max="210" width="15.625" style="7" customWidth="1"/>
    <col min="211" max="211" width="16" style="7" customWidth="1"/>
    <col min="212" max="214" width="16.125" style="7" customWidth="1"/>
    <col min="215" max="215" width="13.25" style="7" customWidth="1"/>
    <col min="216" max="216" width="14.5" style="7" bestFit="1" customWidth="1"/>
    <col min="217" max="217" width="14.75" style="7" customWidth="1"/>
    <col min="218" max="218" width="8.875" style="7" bestFit="1" customWidth="1"/>
    <col min="219" max="219" width="11.125" style="7" bestFit="1" customWidth="1"/>
    <col min="220" max="220" width="15.875" style="7" bestFit="1" customWidth="1"/>
    <col min="221" max="461" width="9" style="7"/>
    <col min="462" max="462" width="5.375" style="7" customWidth="1"/>
    <col min="463" max="463" width="35.25" style="7" customWidth="1"/>
    <col min="464" max="464" width="13.125" style="7" customWidth="1"/>
    <col min="465" max="465" width="11.875" style="7" customWidth="1"/>
    <col min="466" max="466" width="15.625" style="7" customWidth="1"/>
    <col min="467" max="467" width="16" style="7" customWidth="1"/>
    <col min="468" max="470" width="16.125" style="7" customWidth="1"/>
    <col min="471" max="471" width="13.25" style="7" customWidth="1"/>
    <col min="472" max="472" width="14.5" style="7" bestFit="1" customWidth="1"/>
    <col min="473" max="473" width="14.75" style="7" customWidth="1"/>
    <col min="474" max="474" width="8.875" style="7" bestFit="1" customWidth="1"/>
    <col min="475" max="475" width="11.125" style="7" bestFit="1" customWidth="1"/>
    <col min="476" max="476" width="15.875" style="7" bestFit="1" customWidth="1"/>
    <col min="477" max="717" width="9" style="7"/>
    <col min="718" max="718" width="5.375" style="7" customWidth="1"/>
    <col min="719" max="719" width="35.25" style="7" customWidth="1"/>
    <col min="720" max="720" width="13.125" style="7" customWidth="1"/>
    <col min="721" max="721" width="11.875" style="7" customWidth="1"/>
    <col min="722" max="722" width="15.625" style="7" customWidth="1"/>
    <col min="723" max="723" width="16" style="7" customWidth="1"/>
    <col min="724" max="726" width="16.125" style="7" customWidth="1"/>
    <col min="727" max="727" width="13.25" style="7" customWidth="1"/>
    <col min="728" max="728" width="14.5" style="7" bestFit="1" customWidth="1"/>
    <col min="729" max="729" width="14.75" style="7" customWidth="1"/>
    <col min="730" max="730" width="8.875" style="7" bestFit="1" customWidth="1"/>
    <col min="731" max="731" width="11.125" style="7" bestFit="1" customWidth="1"/>
    <col min="732" max="732" width="15.875" style="7" bestFit="1" customWidth="1"/>
    <col min="733" max="973" width="9" style="7"/>
    <col min="974" max="974" width="5.375" style="7" customWidth="1"/>
    <col min="975" max="975" width="35.25" style="7" customWidth="1"/>
    <col min="976" max="976" width="13.125" style="7" customWidth="1"/>
    <col min="977" max="977" width="11.875" style="7" customWidth="1"/>
    <col min="978" max="978" width="15.625" style="7" customWidth="1"/>
    <col min="979" max="979" width="16" style="7" customWidth="1"/>
    <col min="980" max="982" width="16.125" style="7" customWidth="1"/>
    <col min="983" max="983" width="13.25" style="7" customWidth="1"/>
    <col min="984" max="984" width="14.5" style="7" bestFit="1" customWidth="1"/>
    <col min="985" max="985" width="14.75" style="7" customWidth="1"/>
    <col min="986" max="986" width="8.875" style="7" bestFit="1" customWidth="1"/>
    <col min="987" max="987" width="11.125" style="7" bestFit="1" customWidth="1"/>
    <col min="988" max="988" width="15.875" style="7" bestFit="1" customWidth="1"/>
    <col min="989" max="1229" width="9" style="7"/>
    <col min="1230" max="1230" width="5.375" style="7" customWidth="1"/>
    <col min="1231" max="1231" width="35.25" style="7" customWidth="1"/>
    <col min="1232" max="1232" width="13.125" style="7" customWidth="1"/>
    <col min="1233" max="1233" width="11.875" style="7" customWidth="1"/>
    <col min="1234" max="1234" width="15.625" style="7" customWidth="1"/>
    <col min="1235" max="1235" width="16" style="7" customWidth="1"/>
    <col min="1236" max="1238" width="16.125" style="7" customWidth="1"/>
    <col min="1239" max="1239" width="13.25" style="7" customWidth="1"/>
    <col min="1240" max="1240" width="14.5" style="7" bestFit="1" customWidth="1"/>
    <col min="1241" max="1241" width="14.75" style="7" customWidth="1"/>
    <col min="1242" max="1242" width="8.875" style="7" bestFit="1" customWidth="1"/>
    <col min="1243" max="1243" width="11.125" style="7" bestFit="1" customWidth="1"/>
    <col min="1244" max="1244" width="15.875" style="7" bestFit="1" customWidth="1"/>
    <col min="1245" max="1485" width="9" style="7"/>
    <col min="1486" max="1486" width="5.375" style="7" customWidth="1"/>
    <col min="1487" max="1487" width="35.25" style="7" customWidth="1"/>
    <col min="1488" max="1488" width="13.125" style="7" customWidth="1"/>
    <col min="1489" max="1489" width="11.875" style="7" customWidth="1"/>
    <col min="1490" max="1490" width="15.625" style="7" customWidth="1"/>
    <col min="1491" max="1491" width="16" style="7" customWidth="1"/>
    <col min="1492" max="1494" width="16.125" style="7" customWidth="1"/>
    <col min="1495" max="1495" width="13.25" style="7" customWidth="1"/>
    <col min="1496" max="1496" width="14.5" style="7" bestFit="1" customWidth="1"/>
    <col min="1497" max="1497" width="14.75" style="7" customWidth="1"/>
    <col min="1498" max="1498" width="8.875" style="7" bestFit="1" customWidth="1"/>
    <col min="1499" max="1499" width="11.125" style="7" bestFit="1" customWidth="1"/>
    <col min="1500" max="1500" width="15.875" style="7" bestFit="1" customWidth="1"/>
    <col min="1501" max="1741" width="9" style="7"/>
    <col min="1742" max="1742" width="5.375" style="7" customWidth="1"/>
    <col min="1743" max="1743" width="35.25" style="7" customWidth="1"/>
    <col min="1744" max="1744" width="13.125" style="7" customWidth="1"/>
    <col min="1745" max="1745" width="11.875" style="7" customWidth="1"/>
    <col min="1746" max="1746" width="15.625" style="7" customWidth="1"/>
    <col min="1747" max="1747" width="16" style="7" customWidth="1"/>
    <col min="1748" max="1750" width="16.125" style="7" customWidth="1"/>
    <col min="1751" max="1751" width="13.25" style="7" customWidth="1"/>
    <col min="1752" max="1752" width="14.5" style="7" bestFit="1" customWidth="1"/>
    <col min="1753" max="1753" width="14.75" style="7" customWidth="1"/>
    <col min="1754" max="1754" width="8.875" style="7" bestFit="1" customWidth="1"/>
    <col min="1755" max="1755" width="11.125" style="7" bestFit="1" customWidth="1"/>
    <col min="1756" max="1756" width="15.875" style="7" bestFit="1" customWidth="1"/>
    <col min="1757" max="1997" width="9" style="7"/>
    <col min="1998" max="1998" width="5.375" style="7" customWidth="1"/>
    <col min="1999" max="1999" width="35.25" style="7" customWidth="1"/>
    <col min="2000" max="2000" width="13.125" style="7" customWidth="1"/>
    <col min="2001" max="2001" width="11.875" style="7" customWidth="1"/>
    <col min="2002" max="2002" width="15.625" style="7" customWidth="1"/>
    <col min="2003" max="2003" width="16" style="7" customWidth="1"/>
    <col min="2004" max="2006" width="16.125" style="7" customWidth="1"/>
    <col min="2007" max="2007" width="13.25" style="7" customWidth="1"/>
    <col min="2008" max="2008" width="14.5" style="7" bestFit="1" customWidth="1"/>
    <col min="2009" max="2009" width="14.75" style="7" customWidth="1"/>
    <col min="2010" max="2010" width="8.875" style="7" bestFit="1" customWidth="1"/>
    <col min="2011" max="2011" width="11.125" style="7" bestFit="1" customWidth="1"/>
    <col min="2012" max="2012" width="15.875" style="7" bestFit="1" customWidth="1"/>
    <col min="2013" max="2253" width="9" style="7"/>
    <col min="2254" max="2254" width="5.375" style="7" customWidth="1"/>
    <col min="2255" max="2255" width="35.25" style="7" customWidth="1"/>
    <col min="2256" max="2256" width="13.125" style="7" customWidth="1"/>
    <col min="2257" max="2257" width="11.875" style="7" customWidth="1"/>
    <col min="2258" max="2258" width="15.625" style="7" customWidth="1"/>
    <col min="2259" max="2259" width="16" style="7" customWidth="1"/>
    <col min="2260" max="2262" width="16.125" style="7" customWidth="1"/>
    <col min="2263" max="2263" width="13.25" style="7" customWidth="1"/>
    <col min="2264" max="2264" width="14.5" style="7" bestFit="1" customWidth="1"/>
    <col min="2265" max="2265" width="14.75" style="7" customWidth="1"/>
    <col min="2266" max="2266" width="8.875" style="7" bestFit="1" customWidth="1"/>
    <col min="2267" max="2267" width="11.125" style="7" bestFit="1" customWidth="1"/>
    <col min="2268" max="2268" width="15.875" style="7" bestFit="1" customWidth="1"/>
    <col min="2269" max="2509" width="9" style="7"/>
    <col min="2510" max="2510" width="5.375" style="7" customWidth="1"/>
    <col min="2511" max="2511" width="35.25" style="7" customWidth="1"/>
    <col min="2512" max="2512" width="13.125" style="7" customWidth="1"/>
    <col min="2513" max="2513" width="11.875" style="7" customWidth="1"/>
    <col min="2514" max="2514" width="15.625" style="7" customWidth="1"/>
    <col min="2515" max="2515" width="16" style="7" customWidth="1"/>
    <col min="2516" max="2518" width="16.125" style="7" customWidth="1"/>
    <col min="2519" max="2519" width="13.25" style="7" customWidth="1"/>
    <col min="2520" max="2520" width="14.5" style="7" bestFit="1" customWidth="1"/>
    <col min="2521" max="2521" width="14.75" style="7" customWidth="1"/>
    <col min="2522" max="2522" width="8.875" style="7" bestFit="1" customWidth="1"/>
    <col min="2523" max="2523" width="11.125" style="7" bestFit="1" customWidth="1"/>
    <col min="2524" max="2524" width="15.875" style="7" bestFit="1" customWidth="1"/>
    <col min="2525" max="2765" width="9" style="7"/>
    <col min="2766" max="2766" width="5.375" style="7" customWidth="1"/>
    <col min="2767" max="2767" width="35.25" style="7" customWidth="1"/>
    <col min="2768" max="2768" width="13.125" style="7" customWidth="1"/>
    <col min="2769" max="2769" width="11.875" style="7" customWidth="1"/>
    <col min="2770" max="2770" width="15.625" style="7" customWidth="1"/>
    <col min="2771" max="2771" width="16" style="7" customWidth="1"/>
    <col min="2772" max="2774" width="16.125" style="7" customWidth="1"/>
    <col min="2775" max="2775" width="13.25" style="7" customWidth="1"/>
    <col min="2776" max="2776" width="14.5" style="7" bestFit="1" customWidth="1"/>
    <col min="2777" max="2777" width="14.75" style="7" customWidth="1"/>
    <col min="2778" max="2778" width="8.875" style="7" bestFit="1" customWidth="1"/>
    <col min="2779" max="2779" width="11.125" style="7" bestFit="1" customWidth="1"/>
    <col min="2780" max="2780" width="15.875" style="7" bestFit="1" customWidth="1"/>
    <col min="2781" max="3021" width="9" style="7"/>
    <col min="3022" max="3022" width="5.375" style="7" customWidth="1"/>
    <col min="3023" max="3023" width="35.25" style="7" customWidth="1"/>
    <col min="3024" max="3024" width="13.125" style="7" customWidth="1"/>
    <col min="3025" max="3025" width="11.875" style="7" customWidth="1"/>
    <col min="3026" max="3026" width="15.625" style="7" customWidth="1"/>
    <col min="3027" max="3027" width="16" style="7" customWidth="1"/>
    <col min="3028" max="3030" width="16.125" style="7" customWidth="1"/>
    <col min="3031" max="3031" width="13.25" style="7" customWidth="1"/>
    <col min="3032" max="3032" width="14.5" style="7" bestFit="1" customWidth="1"/>
    <col min="3033" max="3033" width="14.75" style="7" customWidth="1"/>
    <col min="3034" max="3034" width="8.875" style="7" bestFit="1" customWidth="1"/>
    <col min="3035" max="3035" width="11.125" style="7" bestFit="1" customWidth="1"/>
    <col min="3036" max="3036" width="15.875" style="7" bestFit="1" customWidth="1"/>
    <col min="3037" max="3277" width="9" style="7"/>
    <col min="3278" max="3278" width="5.375" style="7" customWidth="1"/>
    <col min="3279" max="3279" width="35.25" style="7" customWidth="1"/>
    <col min="3280" max="3280" width="13.125" style="7" customWidth="1"/>
    <col min="3281" max="3281" width="11.875" style="7" customWidth="1"/>
    <col min="3282" max="3282" width="15.625" style="7" customWidth="1"/>
    <col min="3283" max="3283" width="16" style="7" customWidth="1"/>
    <col min="3284" max="3286" width="16.125" style="7" customWidth="1"/>
    <col min="3287" max="3287" width="13.25" style="7" customWidth="1"/>
    <col min="3288" max="3288" width="14.5" style="7" bestFit="1" customWidth="1"/>
    <col min="3289" max="3289" width="14.75" style="7" customWidth="1"/>
    <col min="3290" max="3290" width="8.875" style="7" bestFit="1" customWidth="1"/>
    <col min="3291" max="3291" width="11.125" style="7" bestFit="1" customWidth="1"/>
    <col min="3292" max="3292" width="15.875" style="7" bestFit="1" customWidth="1"/>
    <col min="3293" max="3533" width="9" style="7"/>
    <col min="3534" max="3534" width="5.375" style="7" customWidth="1"/>
    <col min="3535" max="3535" width="35.25" style="7" customWidth="1"/>
    <col min="3536" max="3536" width="13.125" style="7" customWidth="1"/>
    <col min="3537" max="3537" width="11.875" style="7" customWidth="1"/>
    <col min="3538" max="3538" width="15.625" style="7" customWidth="1"/>
    <col min="3539" max="3539" width="16" style="7" customWidth="1"/>
    <col min="3540" max="3542" width="16.125" style="7" customWidth="1"/>
    <col min="3543" max="3543" width="13.25" style="7" customWidth="1"/>
    <col min="3544" max="3544" width="14.5" style="7" bestFit="1" customWidth="1"/>
    <col min="3545" max="3545" width="14.75" style="7" customWidth="1"/>
    <col min="3546" max="3546" width="8.875" style="7" bestFit="1" customWidth="1"/>
    <col min="3547" max="3547" width="11.125" style="7" bestFit="1" customWidth="1"/>
    <col min="3548" max="3548" width="15.875" style="7" bestFit="1" customWidth="1"/>
    <col min="3549" max="3789" width="9" style="7"/>
    <col min="3790" max="3790" width="5.375" style="7" customWidth="1"/>
    <col min="3791" max="3791" width="35.25" style="7" customWidth="1"/>
    <col min="3792" max="3792" width="13.125" style="7" customWidth="1"/>
    <col min="3793" max="3793" width="11.875" style="7" customWidth="1"/>
    <col min="3794" max="3794" width="15.625" style="7" customWidth="1"/>
    <col min="3795" max="3795" width="16" style="7" customWidth="1"/>
    <col min="3796" max="3798" width="16.125" style="7" customWidth="1"/>
    <col min="3799" max="3799" width="13.25" style="7" customWidth="1"/>
    <col min="3800" max="3800" width="14.5" style="7" bestFit="1" customWidth="1"/>
    <col min="3801" max="3801" width="14.75" style="7" customWidth="1"/>
    <col min="3802" max="3802" width="8.875" style="7" bestFit="1" customWidth="1"/>
    <col min="3803" max="3803" width="11.125" style="7" bestFit="1" customWidth="1"/>
    <col min="3804" max="3804" width="15.875" style="7" bestFit="1" customWidth="1"/>
    <col min="3805" max="4045" width="9" style="7"/>
    <col min="4046" max="4046" width="5.375" style="7" customWidth="1"/>
    <col min="4047" max="4047" width="35.25" style="7" customWidth="1"/>
    <col min="4048" max="4048" width="13.125" style="7" customWidth="1"/>
    <col min="4049" max="4049" width="11.875" style="7" customWidth="1"/>
    <col min="4050" max="4050" width="15.625" style="7" customWidth="1"/>
    <col min="4051" max="4051" width="16" style="7" customWidth="1"/>
    <col min="4052" max="4054" width="16.125" style="7" customWidth="1"/>
    <col min="4055" max="4055" width="13.25" style="7" customWidth="1"/>
    <col min="4056" max="4056" width="14.5" style="7" bestFit="1" customWidth="1"/>
    <col min="4057" max="4057" width="14.75" style="7" customWidth="1"/>
    <col min="4058" max="4058" width="8.875" style="7" bestFit="1" customWidth="1"/>
    <col min="4059" max="4059" width="11.125" style="7" bestFit="1" customWidth="1"/>
    <col min="4060" max="4060" width="15.875" style="7" bestFit="1" customWidth="1"/>
    <col min="4061" max="4301" width="9" style="7"/>
    <col min="4302" max="4302" width="5.375" style="7" customWidth="1"/>
    <col min="4303" max="4303" width="35.25" style="7" customWidth="1"/>
    <col min="4304" max="4304" width="13.125" style="7" customWidth="1"/>
    <col min="4305" max="4305" width="11.875" style="7" customWidth="1"/>
    <col min="4306" max="4306" width="15.625" style="7" customWidth="1"/>
    <col min="4307" max="4307" width="16" style="7" customWidth="1"/>
    <col min="4308" max="4310" width="16.125" style="7" customWidth="1"/>
    <col min="4311" max="4311" width="13.25" style="7" customWidth="1"/>
    <col min="4312" max="4312" width="14.5" style="7" bestFit="1" customWidth="1"/>
    <col min="4313" max="4313" width="14.75" style="7" customWidth="1"/>
    <col min="4314" max="4314" width="8.875" style="7" bestFit="1" customWidth="1"/>
    <col min="4315" max="4315" width="11.125" style="7" bestFit="1" customWidth="1"/>
    <col min="4316" max="4316" width="15.875" style="7" bestFit="1" customWidth="1"/>
    <col min="4317" max="4557" width="9" style="7"/>
    <col min="4558" max="4558" width="5.375" style="7" customWidth="1"/>
    <col min="4559" max="4559" width="35.25" style="7" customWidth="1"/>
    <col min="4560" max="4560" width="13.125" style="7" customWidth="1"/>
    <col min="4561" max="4561" width="11.875" style="7" customWidth="1"/>
    <col min="4562" max="4562" width="15.625" style="7" customWidth="1"/>
    <col min="4563" max="4563" width="16" style="7" customWidth="1"/>
    <col min="4564" max="4566" width="16.125" style="7" customWidth="1"/>
    <col min="4567" max="4567" width="13.25" style="7" customWidth="1"/>
    <col min="4568" max="4568" width="14.5" style="7" bestFit="1" customWidth="1"/>
    <col min="4569" max="4569" width="14.75" style="7" customWidth="1"/>
    <col min="4570" max="4570" width="8.875" style="7" bestFit="1" customWidth="1"/>
    <col min="4571" max="4571" width="11.125" style="7" bestFit="1" customWidth="1"/>
    <col min="4572" max="4572" width="15.875" style="7" bestFit="1" customWidth="1"/>
    <col min="4573" max="4813" width="9" style="7"/>
    <col min="4814" max="4814" width="5.375" style="7" customWidth="1"/>
    <col min="4815" max="4815" width="35.25" style="7" customWidth="1"/>
    <col min="4816" max="4816" width="13.125" style="7" customWidth="1"/>
    <col min="4817" max="4817" width="11.875" style="7" customWidth="1"/>
    <col min="4818" max="4818" width="15.625" style="7" customWidth="1"/>
    <col min="4819" max="4819" width="16" style="7" customWidth="1"/>
    <col min="4820" max="4822" width="16.125" style="7" customWidth="1"/>
    <col min="4823" max="4823" width="13.25" style="7" customWidth="1"/>
    <col min="4824" max="4824" width="14.5" style="7" bestFit="1" customWidth="1"/>
    <col min="4825" max="4825" width="14.75" style="7" customWidth="1"/>
    <col min="4826" max="4826" width="8.875" style="7" bestFit="1" customWidth="1"/>
    <col min="4827" max="4827" width="11.125" style="7" bestFit="1" customWidth="1"/>
    <col min="4828" max="4828" width="15.875" style="7" bestFit="1" customWidth="1"/>
    <col min="4829" max="5069" width="9" style="7"/>
    <col min="5070" max="5070" width="5.375" style="7" customWidth="1"/>
    <col min="5071" max="5071" width="35.25" style="7" customWidth="1"/>
    <col min="5072" max="5072" width="13.125" style="7" customWidth="1"/>
    <col min="5073" max="5073" width="11.875" style="7" customWidth="1"/>
    <col min="5074" max="5074" width="15.625" style="7" customWidth="1"/>
    <col min="5075" max="5075" width="16" style="7" customWidth="1"/>
    <col min="5076" max="5078" width="16.125" style="7" customWidth="1"/>
    <col min="5079" max="5079" width="13.25" style="7" customWidth="1"/>
    <col min="5080" max="5080" width="14.5" style="7" bestFit="1" customWidth="1"/>
    <col min="5081" max="5081" width="14.75" style="7" customWidth="1"/>
    <col min="5082" max="5082" width="8.875" style="7" bestFit="1" customWidth="1"/>
    <col min="5083" max="5083" width="11.125" style="7" bestFit="1" customWidth="1"/>
    <col min="5084" max="5084" width="15.875" style="7" bestFit="1" customWidth="1"/>
    <col min="5085" max="5325" width="9" style="7"/>
    <col min="5326" max="5326" width="5.375" style="7" customWidth="1"/>
    <col min="5327" max="5327" width="35.25" style="7" customWidth="1"/>
    <col min="5328" max="5328" width="13.125" style="7" customWidth="1"/>
    <col min="5329" max="5329" width="11.875" style="7" customWidth="1"/>
    <col min="5330" max="5330" width="15.625" style="7" customWidth="1"/>
    <col min="5331" max="5331" width="16" style="7" customWidth="1"/>
    <col min="5332" max="5334" width="16.125" style="7" customWidth="1"/>
    <col min="5335" max="5335" width="13.25" style="7" customWidth="1"/>
    <col min="5336" max="5336" width="14.5" style="7" bestFit="1" customWidth="1"/>
    <col min="5337" max="5337" width="14.75" style="7" customWidth="1"/>
    <col min="5338" max="5338" width="8.875" style="7" bestFit="1" customWidth="1"/>
    <col min="5339" max="5339" width="11.125" style="7" bestFit="1" customWidth="1"/>
    <col min="5340" max="5340" width="15.875" style="7" bestFit="1" customWidth="1"/>
    <col min="5341" max="5581" width="9" style="7"/>
    <col min="5582" max="5582" width="5.375" style="7" customWidth="1"/>
    <col min="5583" max="5583" width="35.25" style="7" customWidth="1"/>
    <col min="5584" max="5584" width="13.125" style="7" customWidth="1"/>
    <col min="5585" max="5585" width="11.875" style="7" customWidth="1"/>
    <col min="5586" max="5586" width="15.625" style="7" customWidth="1"/>
    <col min="5587" max="5587" width="16" style="7" customWidth="1"/>
    <col min="5588" max="5590" width="16.125" style="7" customWidth="1"/>
    <col min="5591" max="5591" width="13.25" style="7" customWidth="1"/>
    <col min="5592" max="5592" width="14.5" style="7" bestFit="1" customWidth="1"/>
    <col min="5593" max="5593" width="14.75" style="7" customWidth="1"/>
    <col min="5594" max="5594" width="8.875" style="7" bestFit="1" customWidth="1"/>
    <col min="5595" max="5595" width="11.125" style="7" bestFit="1" customWidth="1"/>
    <col min="5596" max="5596" width="15.875" style="7" bestFit="1" customWidth="1"/>
    <col min="5597" max="5837" width="9" style="7"/>
    <col min="5838" max="5838" width="5.375" style="7" customWidth="1"/>
    <col min="5839" max="5839" width="35.25" style="7" customWidth="1"/>
    <col min="5840" max="5840" width="13.125" style="7" customWidth="1"/>
    <col min="5841" max="5841" width="11.875" style="7" customWidth="1"/>
    <col min="5842" max="5842" width="15.625" style="7" customWidth="1"/>
    <col min="5843" max="5843" width="16" style="7" customWidth="1"/>
    <col min="5844" max="5846" width="16.125" style="7" customWidth="1"/>
    <col min="5847" max="5847" width="13.25" style="7" customWidth="1"/>
    <col min="5848" max="5848" width="14.5" style="7" bestFit="1" customWidth="1"/>
    <col min="5849" max="5849" width="14.75" style="7" customWidth="1"/>
    <col min="5850" max="5850" width="8.875" style="7" bestFit="1" customWidth="1"/>
    <col min="5851" max="5851" width="11.125" style="7" bestFit="1" customWidth="1"/>
    <col min="5852" max="5852" width="15.875" style="7" bestFit="1" customWidth="1"/>
    <col min="5853" max="6093" width="9" style="7"/>
    <col min="6094" max="6094" width="5.375" style="7" customWidth="1"/>
    <col min="6095" max="6095" width="35.25" style="7" customWidth="1"/>
    <col min="6096" max="6096" width="13.125" style="7" customWidth="1"/>
    <col min="6097" max="6097" width="11.875" style="7" customWidth="1"/>
    <col min="6098" max="6098" width="15.625" style="7" customWidth="1"/>
    <col min="6099" max="6099" width="16" style="7" customWidth="1"/>
    <col min="6100" max="6102" width="16.125" style="7" customWidth="1"/>
    <col min="6103" max="6103" width="13.25" style="7" customWidth="1"/>
    <col min="6104" max="6104" width="14.5" style="7" bestFit="1" customWidth="1"/>
    <col min="6105" max="6105" width="14.75" style="7" customWidth="1"/>
    <col min="6106" max="6106" width="8.875" style="7" bestFit="1" customWidth="1"/>
    <col min="6107" max="6107" width="11.125" style="7" bestFit="1" customWidth="1"/>
    <col min="6108" max="6108" width="15.875" style="7" bestFit="1" customWidth="1"/>
    <col min="6109" max="6349" width="9" style="7"/>
    <col min="6350" max="6350" width="5.375" style="7" customWidth="1"/>
    <col min="6351" max="6351" width="35.25" style="7" customWidth="1"/>
    <col min="6352" max="6352" width="13.125" style="7" customWidth="1"/>
    <col min="6353" max="6353" width="11.875" style="7" customWidth="1"/>
    <col min="6354" max="6354" width="15.625" style="7" customWidth="1"/>
    <col min="6355" max="6355" width="16" style="7" customWidth="1"/>
    <col min="6356" max="6358" width="16.125" style="7" customWidth="1"/>
    <col min="6359" max="6359" width="13.25" style="7" customWidth="1"/>
    <col min="6360" max="6360" width="14.5" style="7" bestFit="1" customWidth="1"/>
    <col min="6361" max="6361" width="14.75" style="7" customWidth="1"/>
    <col min="6362" max="6362" width="8.875" style="7" bestFit="1" customWidth="1"/>
    <col min="6363" max="6363" width="11.125" style="7" bestFit="1" customWidth="1"/>
    <col min="6364" max="6364" width="15.875" style="7" bestFit="1" customWidth="1"/>
    <col min="6365" max="6605" width="9" style="7"/>
    <col min="6606" max="6606" width="5.375" style="7" customWidth="1"/>
    <col min="6607" max="6607" width="35.25" style="7" customWidth="1"/>
    <col min="6608" max="6608" width="13.125" style="7" customWidth="1"/>
    <col min="6609" max="6609" width="11.875" style="7" customWidth="1"/>
    <col min="6610" max="6610" width="15.625" style="7" customWidth="1"/>
    <col min="6611" max="6611" width="16" style="7" customWidth="1"/>
    <col min="6612" max="6614" width="16.125" style="7" customWidth="1"/>
    <col min="6615" max="6615" width="13.25" style="7" customWidth="1"/>
    <col min="6616" max="6616" width="14.5" style="7" bestFit="1" customWidth="1"/>
    <col min="6617" max="6617" width="14.75" style="7" customWidth="1"/>
    <col min="6618" max="6618" width="8.875" style="7" bestFit="1" customWidth="1"/>
    <col min="6619" max="6619" width="11.125" style="7" bestFit="1" customWidth="1"/>
    <col min="6620" max="6620" width="15.875" style="7" bestFit="1" customWidth="1"/>
    <col min="6621" max="6861" width="9" style="7"/>
    <col min="6862" max="6862" width="5.375" style="7" customWidth="1"/>
    <col min="6863" max="6863" width="35.25" style="7" customWidth="1"/>
    <col min="6864" max="6864" width="13.125" style="7" customWidth="1"/>
    <col min="6865" max="6865" width="11.875" style="7" customWidth="1"/>
    <col min="6866" max="6866" width="15.625" style="7" customWidth="1"/>
    <col min="6867" max="6867" width="16" style="7" customWidth="1"/>
    <col min="6868" max="6870" width="16.125" style="7" customWidth="1"/>
    <col min="6871" max="6871" width="13.25" style="7" customWidth="1"/>
    <col min="6872" max="6872" width="14.5" style="7" bestFit="1" customWidth="1"/>
    <col min="6873" max="6873" width="14.75" style="7" customWidth="1"/>
    <col min="6874" max="6874" width="8.875" style="7" bestFit="1" customWidth="1"/>
    <col min="6875" max="6875" width="11.125" style="7" bestFit="1" customWidth="1"/>
    <col min="6876" max="6876" width="15.875" style="7" bestFit="1" customWidth="1"/>
    <col min="6877" max="7117" width="9" style="7"/>
    <col min="7118" max="7118" width="5.375" style="7" customWidth="1"/>
    <col min="7119" max="7119" width="35.25" style="7" customWidth="1"/>
    <col min="7120" max="7120" width="13.125" style="7" customWidth="1"/>
    <col min="7121" max="7121" width="11.875" style="7" customWidth="1"/>
    <col min="7122" max="7122" width="15.625" style="7" customWidth="1"/>
    <col min="7123" max="7123" width="16" style="7" customWidth="1"/>
    <col min="7124" max="7126" width="16.125" style="7" customWidth="1"/>
    <col min="7127" max="7127" width="13.25" style="7" customWidth="1"/>
    <col min="7128" max="7128" width="14.5" style="7" bestFit="1" customWidth="1"/>
    <col min="7129" max="7129" width="14.75" style="7" customWidth="1"/>
    <col min="7130" max="7130" width="8.875" style="7" bestFit="1" customWidth="1"/>
    <col min="7131" max="7131" width="11.125" style="7" bestFit="1" customWidth="1"/>
    <col min="7132" max="7132" width="15.875" style="7" bestFit="1" customWidth="1"/>
    <col min="7133" max="7373" width="9" style="7"/>
    <col min="7374" max="7374" width="5.375" style="7" customWidth="1"/>
    <col min="7375" max="7375" width="35.25" style="7" customWidth="1"/>
    <col min="7376" max="7376" width="13.125" style="7" customWidth="1"/>
    <col min="7377" max="7377" width="11.875" style="7" customWidth="1"/>
    <col min="7378" max="7378" width="15.625" style="7" customWidth="1"/>
    <col min="7379" max="7379" width="16" style="7" customWidth="1"/>
    <col min="7380" max="7382" width="16.125" style="7" customWidth="1"/>
    <col min="7383" max="7383" width="13.25" style="7" customWidth="1"/>
    <col min="7384" max="7384" width="14.5" style="7" bestFit="1" customWidth="1"/>
    <col min="7385" max="7385" width="14.75" style="7" customWidth="1"/>
    <col min="7386" max="7386" width="8.875" style="7" bestFit="1" customWidth="1"/>
    <col min="7387" max="7387" width="11.125" style="7" bestFit="1" customWidth="1"/>
    <col min="7388" max="7388" width="15.875" style="7" bestFit="1" customWidth="1"/>
    <col min="7389" max="7629" width="9" style="7"/>
    <col min="7630" max="7630" width="5.375" style="7" customWidth="1"/>
    <col min="7631" max="7631" width="35.25" style="7" customWidth="1"/>
    <col min="7632" max="7632" width="13.125" style="7" customWidth="1"/>
    <col min="7633" max="7633" width="11.875" style="7" customWidth="1"/>
    <col min="7634" max="7634" width="15.625" style="7" customWidth="1"/>
    <col min="7635" max="7635" width="16" style="7" customWidth="1"/>
    <col min="7636" max="7638" width="16.125" style="7" customWidth="1"/>
    <col min="7639" max="7639" width="13.25" style="7" customWidth="1"/>
    <col min="7640" max="7640" width="14.5" style="7" bestFit="1" customWidth="1"/>
    <col min="7641" max="7641" width="14.75" style="7" customWidth="1"/>
    <col min="7642" max="7642" width="8.875" style="7" bestFit="1" customWidth="1"/>
    <col min="7643" max="7643" width="11.125" style="7" bestFit="1" customWidth="1"/>
    <col min="7644" max="7644" width="15.875" style="7" bestFit="1" customWidth="1"/>
    <col min="7645" max="7885" width="9" style="7"/>
    <col min="7886" max="7886" width="5.375" style="7" customWidth="1"/>
    <col min="7887" max="7887" width="35.25" style="7" customWidth="1"/>
    <col min="7888" max="7888" width="13.125" style="7" customWidth="1"/>
    <col min="7889" max="7889" width="11.875" style="7" customWidth="1"/>
    <col min="7890" max="7890" width="15.625" style="7" customWidth="1"/>
    <col min="7891" max="7891" width="16" style="7" customWidth="1"/>
    <col min="7892" max="7894" width="16.125" style="7" customWidth="1"/>
    <col min="7895" max="7895" width="13.25" style="7" customWidth="1"/>
    <col min="7896" max="7896" width="14.5" style="7" bestFit="1" customWidth="1"/>
    <col min="7897" max="7897" width="14.75" style="7" customWidth="1"/>
    <col min="7898" max="7898" width="8.875" style="7" bestFit="1" customWidth="1"/>
    <col min="7899" max="7899" width="11.125" style="7" bestFit="1" customWidth="1"/>
    <col min="7900" max="7900" width="15.875" style="7" bestFit="1" customWidth="1"/>
    <col min="7901" max="8141" width="9" style="7"/>
    <col min="8142" max="8142" width="5.375" style="7" customWidth="1"/>
    <col min="8143" max="8143" width="35.25" style="7" customWidth="1"/>
    <col min="8144" max="8144" width="13.125" style="7" customWidth="1"/>
    <col min="8145" max="8145" width="11.875" style="7" customWidth="1"/>
    <col min="8146" max="8146" width="15.625" style="7" customWidth="1"/>
    <col min="8147" max="8147" width="16" style="7" customWidth="1"/>
    <col min="8148" max="8150" width="16.125" style="7" customWidth="1"/>
    <col min="8151" max="8151" width="13.25" style="7" customWidth="1"/>
    <col min="8152" max="8152" width="14.5" style="7" bestFit="1" customWidth="1"/>
    <col min="8153" max="8153" width="14.75" style="7" customWidth="1"/>
    <col min="8154" max="8154" width="8.875" style="7" bestFit="1" customWidth="1"/>
    <col min="8155" max="8155" width="11.125" style="7" bestFit="1" customWidth="1"/>
    <col min="8156" max="8156" width="15.875" style="7" bestFit="1" customWidth="1"/>
    <col min="8157" max="8397" width="9" style="7"/>
    <col min="8398" max="8398" width="5.375" style="7" customWidth="1"/>
    <col min="8399" max="8399" width="35.25" style="7" customWidth="1"/>
    <col min="8400" max="8400" width="13.125" style="7" customWidth="1"/>
    <col min="8401" max="8401" width="11.875" style="7" customWidth="1"/>
    <col min="8402" max="8402" width="15.625" style="7" customWidth="1"/>
    <col min="8403" max="8403" width="16" style="7" customWidth="1"/>
    <col min="8404" max="8406" width="16.125" style="7" customWidth="1"/>
    <col min="8407" max="8407" width="13.25" style="7" customWidth="1"/>
    <col min="8408" max="8408" width="14.5" style="7" bestFit="1" customWidth="1"/>
    <col min="8409" max="8409" width="14.75" style="7" customWidth="1"/>
    <col min="8410" max="8410" width="8.875" style="7" bestFit="1" customWidth="1"/>
    <col min="8411" max="8411" width="11.125" style="7" bestFit="1" customWidth="1"/>
    <col min="8412" max="8412" width="15.875" style="7" bestFit="1" customWidth="1"/>
    <col min="8413" max="8653" width="9" style="7"/>
    <col min="8654" max="8654" width="5.375" style="7" customWidth="1"/>
    <col min="8655" max="8655" width="35.25" style="7" customWidth="1"/>
    <col min="8656" max="8656" width="13.125" style="7" customWidth="1"/>
    <col min="8657" max="8657" width="11.875" style="7" customWidth="1"/>
    <col min="8658" max="8658" width="15.625" style="7" customWidth="1"/>
    <col min="8659" max="8659" width="16" style="7" customWidth="1"/>
    <col min="8660" max="8662" width="16.125" style="7" customWidth="1"/>
    <col min="8663" max="8663" width="13.25" style="7" customWidth="1"/>
    <col min="8664" max="8664" width="14.5" style="7" bestFit="1" customWidth="1"/>
    <col min="8665" max="8665" width="14.75" style="7" customWidth="1"/>
    <col min="8666" max="8666" width="8.875" style="7" bestFit="1" customWidth="1"/>
    <col min="8667" max="8667" width="11.125" style="7" bestFit="1" customWidth="1"/>
    <col min="8668" max="8668" width="15.875" style="7" bestFit="1" customWidth="1"/>
    <col min="8669" max="8909" width="9" style="7"/>
    <col min="8910" max="8910" width="5.375" style="7" customWidth="1"/>
    <col min="8911" max="8911" width="35.25" style="7" customWidth="1"/>
    <col min="8912" max="8912" width="13.125" style="7" customWidth="1"/>
    <col min="8913" max="8913" width="11.875" style="7" customWidth="1"/>
    <col min="8914" max="8914" width="15.625" style="7" customWidth="1"/>
    <col min="8915" max="8915" width="16" style="7" customWidth="1"/>
    <col min="8916" max="8918" width="16.125" style="7" customWidth="1"/>
    <col min="8919" max="8919" width="13.25" style="7" customWidth="1"/>
    <col min="8920" max="8920" width="14.5" style="7" bestFit="1" customWidth="1"/>
    <col min="8921" max="8921" width="14.75" style="7" customWidth="1"/>
    <col min="8922" max="8922" width="8.875" style="7" bestFit="1" customWidth="1"/>
    <col min="8923" max="8923" width="11.125" style="7" bestFit="1" customWidth="1"/>
    <col min="8924" max="8924" width="15.875" style="7" bestFit="1" customWidth="1"/>
    <col min="8925" max="9165" width="9" style="7"/>
    <col min="9166" max="9166" width="5.375" style="7" customWidth="1"/>
    <col min="9167" max="9167" width="35.25" style="7" customWidth="1"/>
    <col min="9168" max="9168" width="13.125" style="7" customWidth="1"/>
    <col min="9169" max="9169" width="11.875" style="7" customWidth="1"/>
    <col min="9170" max="9170" width="15.625" style="7" customWidth="1"/>
    <col min="9171" max="9171" width="16" style="7" customWidth="1"/>
    <col min="9172" max="9174" width="16.125" style="7" customWidth="1"/>
    <col min="9175" max="9175" width="13.25" style="7" customWidth="1"/>
    <col min="9176" max="9176" width="14.5" style="7" bestFit="1" customWidth="1"/>
    <col min="9177" max="9177" width="14.75" style="7" customWidth="1"/>
    <col min="9178" max="9178" width="8.875" style="7" bestFit="1" customWidth="1"/>
    <col min="9179" max="9179" width="11.125" style="7" bestFit="1" customWidth="1"/>
    <col min="9180" max="9180" width="15.875" style="7" bestFit="1" customWidth="1"/>
    <col min="9181" max="9421" width="9" style="7"/>
    <col min="9422" max="9422" width="5.375" style="7" customWidth="1"/>
    <col min="9423" max="9423" width="35.25" style="7" customWidth="1"/>
    <col min="9424" max="9424" width="13.125" style="7" customWidth="1"/>
    <col min="9425" max="9425" width="11.875" style="7" customWidth="1"/>
    <col min="9426" max="9426" width="15.625" style="7" customWidth="1"/>
    <col min="9427" max="9427" width="16" style="7" customWidth="1"/>
    <col min="9428" max="9430" width="16.125" style="7" customWidth="1"/>
    <col min="9431" max="9431" width="13.25" style="7" customWidth="1"/>
    <col min="9432" max="9432" width="14.5" style="7" bestFit="1" customWidth="1"/>
    <col min="9433" max="9433" width="14.75" style="7" customWidth="1"/>
    <col min="9434" max="9434" width="8.875" style="7" bestFit="1" customWidth="1"/>
    <col min="9435" max="9435" width="11.125" style="7" bestFit="1" customWidth="1"/>
    <col min="9436" max="9436" width="15.875" style="7" bestFit="1" customWidth="1"/>
    <col min="9437" max="9677" width="9" style="7"/>
    <col min="9678" max="9678" width="5.375" style="7" customWidth="1"/>
    <col min="9679" max="9679" width="35.25" style="7" customWidth="1"/>
    <col min="9680" max="9680" width="13.125" style="7" customWidth="1"/>
    <col min="9681" max="9681" width="11.875" style="7" customWidth="1"/>
    <col min="9682" max="9682" width="15.625" style="7" customWidth="1"/>
    <col min="9683" max="9683" width="16" style="7" customWidth="1"/>
    <col min="9684" max="9686" width="16.125" style="7" customWidth="1"/>
    <col min="9687" max="9687" width="13.25" style="7" customWidth="1"/>
    <col min="9688" max="9688" width="14.5" style="7" bestFit="1" customWidth="1"/>
    <col min="9689" max="9689" width="14.75" style="7" customWidth="1"/>
    <col min="9690" max="9690" width="8.875" style="7" bestFit="1" customWidth="1"/>
    <col min="9691" max="9691" width="11.125" style="7" bestFit="1" customWidth="1"/>
    <col min="9692" max="9692" width="15.875" style="7" bestFit="1" customWidth="1"/>
    <col min="9693" max="9933" width="9" style="7"/>
    <col min="9934" max="9934" width="5.375" style="7" customWidth="1"/>
    <col min="9935" max="9935" width="35.25" style="7" customWidth="1"/>
    <col min="9936" max="9936" width="13.125" style="7" customWidth="1"/>
    <col min="9937" max="9937" width="11.875" style="7" customWidth="1"/>
    <col min="9938" max="9938" width="15.625" style="7" customWidth="1"/>
    <col min="9939" max="9939" width="16" style="7" customWidth="1"/>
    <col min="9940" max="9942" width="16.125" style="7" customWidth="1"/>
    <col min="9943" max="9943" width="13.25" style="7" customWidth="1"/>
    <col min="9944" max="9944" width="14.5" style="7" bestFit="1" customWidth="1"/>
    <col min="9945" max="9945" width="14.75" style="7" customWidth="1"/>
    <col min="9946" max="9946" width="8.875" style="7" bestFit="1" customWidth="1"/>
    <col min="9947" max="9947" width="11.125" style="7" bestFit="1" customWidth="1"/>
    <col min="9948" max="9948" width="15.875" style="7" bestFit="1" customWidth="1"/>
    <col min="9949" max="10189" width="9" style="7"/>
    <col min="10190" max="10190" width="5.375" style="7" customWidth="1"/>
    <col min="10191" max="10191" width="35.25" style="7" customWidth="1"/>
    <col min="10192" max="10192" width="13.125" style="7" customWidth="1"/>
    <col min="10193" max="10193" width="11.875" style="7" customWidth="1"/>
    <col min="10194" max="10194" width="15.625" style="7" customWidth="1"/>
    <col min="10195" max="10195" width="16" style="7" customWidth="1"/>
    <col min="10196" max="10198" width="16.125" style="7" customWidth="1"/>
    <col min="10199" max="10199" width="13.25" style="7" customWidth="1"/>
    <col min="10200" max="10200" width="14.5" style="7" bestFit="1" customWidth="1"/>
    <col min="10201" max="10201" width="14.75" style="7" customWidth="1"/>
    <col min="10202" max="10202" width="8.875" style="7" bestFit="1" customWidth="1"/>
    <col min="10203" max="10203" width="11.125" style="7" bestFit="1" customWidth="1"/>
    <col min="10204" max="10204" width="15.875" style="7" bestFit="1" customWidth="1"/>
    <col min="10205" max="10445" width="9" style="7"/>
    <col min="10446" max="10446" width="5.375" style="7" customWidth="1"/>
    <col min="10447" max="10447" width="35.25" style="7" customWidth="1"/>
    <col min="10448" max="10448" width="13.125" style="7" customWidth="1"/>
    <col min="10449" max="10449" width="11.875" style="7" customWidth="1"/>
    <col min="10450" max="10450" width="15.625" style="7" customWidth="1"/>
    <col min="10451" max="10451" width="16" style="7" customWidth="1"/>
    <col min="10452" max="10454" width="16.125" style="7" customWidth="1"/>
    <col min="10455" max="10455" width="13.25" style="7" customWidth="1"/>
    <col min="10456" max="10456" width="14.5" style="7" bestFit="1" customWidth="1"/>
    <col min="10457" max="10457" width="14.75" style="7" customWidth="1"/>
    <col min="10458" max="10458" width="8.875" style="7" bestFit="1" customWidth="1"/>
    <col min="10459" max="10459" width="11.125" style="7" bestFit="1" customWidth="1"/>
    <col min="10460" max="10460" width="15.875" style="7" bestFit="1" customWidth="1"/>
    <col min="10461" max="10701" width="9" style="7"/>
    <col min="10702" max="10702" width="5.375" style="7" customWidth="1"/>
    <col min="10703" max="10703" width="35.25" style="7" customWidth="1"/>
    <col min="10704" max="10704" width="13.125" style="7" customWidth="1"/>
    <col min="10705" max="10705" width="11.875" style="7" customWidth="1"/>
    <col min="10706" max="10706" width="15.625" style="7" customWidth="1"/>
    <col min="10707" max="10707" width="16" style="7" customWidth="1"/>
    <col min="10708" max="10710" width="16.125" style="7" customWidth="1"/>
    <col min="10711" max="10711" width="13.25" style="7" customWidth="1"/>
    <col min="10712" max="10712" width="14.5" style="7" bestFit="1" customWidth="1"/>
    <col min="10713" max="10713" width="14.75" style="7" customWidth="1"/>
    <col min="10714" max="10714" width="8.875" style="7" bestFit="1" customWidth="1"/>
    <col min="10715" max="10715" width="11.125" style="7" bestFit="1" customWidth="1"/>
    <col min="10716" max="10716" width="15.875" style="7" bestFit="1" customWidth="1"/>
    <col min="10717" max="10957" width="9" style="7"/>
    <col min="10958" max="10958" width="5.375" style="7" customWidth="1"/>
    <col min="10959" max="10959" width="35.25" style="7" customWidth="1"/>
    <col min="10960" max="10960" width="13.125" style="7" customWidth="1"/>
    <col min="10961" max="10961" width="11.875" style="7" customWidth="1"/>
    <col min="10962" max="10962" width="15.625" style="7" customWidth="1"/>
    <col min="10963" max="10963" width="16" style="7" customWidth="1"/>
    <col min="10964" max="10966" width="16.125" style="7" customWidth="1"/>
    <col min="10967" max="10967" width="13.25" style="7" customWidth="1"/>
    <col min="10968" max="10968" width="14.5" style="7" bestFit="1" customWidth="1"/>
    <col min="10969" max="10969" width="14.75" style="7" customWidth="1"/>
    <col min="10970" max="10970" width="8.875" style="7" bestFit="1" customWidth="1"/>
    <col min="10971" max="10971" width="11.125" style="7" bestFit="1" customWidth="1"/>
    <col min="10972" max="10972" width="15.875" style="7" bestFit="1" customWidth="1"/>
    <col min="10973" max="11213" width="9" style="7"/>
    <col min="11214" max="11214" width="5.375" style="7" customWidth="1"/>
    <col min="11215" max="11215" width="35.25" style="7" customWidth="1"/>
    <col min="11216" max="11216" width="13.125" style="7" customWidth="1"/>
    <col min="11217" max="11217" width="11.875" style="7" customWidth="1"/>
    <col min="11218" max="11218" width="15.625" style="7" customWidth="1"/>
    <col min="11219" max="11219" width="16" style="7" customWidth="1"/>
    <col min="11220" max="11222" width="16.125" style="7" customWidth="1"/>
    <col min="11223" max="11223" width="13.25" style="7" customWidth="1"/>
    <col min="11224" max="11224" width="14.5" style="7" bestFit="1" customWidth="1"/>
    <col min="11225" max="11225" width="14.75" style="7" customWidth="1"/>
    <col min="11226" max="11226" width="8.875" style="7" bestFit="1" customWidth="1"/>
    <col min="11227" max="11227" width="11.125" style="7" bestFit="1" customWidth="1"/>
    <col min="11228" max="11228" width="15.875" style="7" bestFit="1" customWidth="1"/>
    <col min="11229" max="11469" width="9" style="7"/>
    <col min="11470" max="11470" width="5.375" style="7" customWidth="1"/>
    <col min="11471" max="11471" width="35.25" style="7" customWidth="1"/>
    <col min="11472" max="11472" width="13.125" style="7" customWidth="1"/>
    <col min="11473" max="11473" width="11.875" style="7" customWidth="1"/>
    <col min="11474" max="11474" width="15.625" style="7" customWidth="1"/>
    <col min="11475" max="11475" width="16" style="7" customWidth="1"/>
    <col min="11476" max="11478" width="16.125" style="7" customWidth="1"/>
    <col min="11479" max="11479" width="13.25" style="7" customWidth="1"/>
    <col min="11480" max="11480" width="14.5" style="7" bestFit="1" customWidth="1"/>
    <col min="11481" max="11481" width="14.75" style="7" customWidth="1"/>
    <col min="11482" max="11482" width="8.875" style="7" bestFit="1" customWidth="1"/>
    <col min="11483" max="11483" width="11.125" style="7" bestFit="1" customWidth="1"/>
    <col min="11484" max="11484" width="15.875" style="7" bestFit="1" customWidth="1"/>
    <col min="11485" max="11725" width="9" style="7"/>
    <col min="11726" max="11726" width="5.375" style="7" customWidth="1"/>
    <col min="11727" max="11727" width="35.25" style="7" customWidth="1"/>
    <col min="11728" max="11728" width="13.125" style="7" customWidth="1"/>
    <col min="11729" max="11729" width="11.875" style="7" customWidth="1"/>
    <col min="11730" max="11730" width="15.625" style="7" customWidth="1"/>
    <col min="11731" max="11731" width="16" style="7" customWidth="1"/>
    <col min="11732" max="11734" width="16.125" style="7" customWidth="1"/>
    <col min="11735" max="11735" width="13.25" style="7" customWidth="1"/>
    <col min="11736" max="11736" width="14.5" style="7" bestFit="1" customWidth="1"/>
    <col min="11737" max="11737" width="14.75" style="7" customWidth="1"/>
    <col min="11738" max="11738" width="8.875" style="7" bestFit="1" customWidth="1"/>
    <col min="11739" max="11739" width="11.125" style="7" bestFit="1" customWidth="1"/>
    <col min="11740" max="11740" width="15.875" style="7" bestFit="1" customWidth="1"/>
    <col min="11741" max="11981" width="9" style="7"/>
    <col min="11982" max="11982" width="5.375" style="7" customWidth="1"/>
    <col min="11983" max="11983" width="35.25" style="7" customWidth="1"/>
    <col min="11984" max="11984" width="13.125" style="7" customWidth="1"/>
    <col min="11985" max="11985" width="11.875" style="7" customWidth="1"/>
    <col min="11986" max="11986" width="15.625" style="7" customWidth="1"/>
    <col min="11987" max="11987" width="16" style="7" customWidth="1"/>
    <col min="11988" max="11990" width="16.125" style="7" customWidth="1"/>
    <col min="11991" max="11991" width="13.25" style="7" customWidth="1"/>
    <col min="11992" max="11992" width="14.5" style="7" bestFit="1" customWidth="1"/>
    <col min="11993" max="11993" width="14.75" style="7" customWidth="1"/>
    <col min="11994" max="11994" width="8.875" style="7" bestFit="1" customWidth="1"/>
    <col min="11995" max="11995" width="11.125" style="7" bestFit="1" customWidth="1"/>
    <col min="11996" max="11996" width="15.875" style="7" bestFit="1" customWidth="1"/>
    <col min="11997" max="12237" width="9" style="7"/>
    <col min="12238" max="12238" width="5.375" style="7" customWidth="1"/>
    <col min="12239" max="12239" width="35.25" style="7" customWidth="1"/>
    <col min="12240" max="12240" width="13.125" style="7" customWidth="1"/>
    <col min="12241" max="12241" width="11.875" style="7" customWidth="1"/>
    <col min="12242" max="12242" width="15.625" style="7" customWidth="1"/>
    <col min="12243" max="12243" width="16" style="7" customWidth="1"/>
    <col min="12244" max="12246" width="16.125" style="7" customWidth="1"/>
    <col min="12247" max="12247" width="13.25" style="7" customWidth="1"/>
    <col min="12248" max="12248" width="14.5" style="7" bestFit="1" customWidth="1"/>
    <col min="12249" max="12249" width="14.75" style="7" customWidth="1"/>
    <col min="12250" max="12250" width="8.875" style="7" bestFit="1" customWidth="1"/>
    <col min="12251" max="12251" width="11.125" style="7" bestFit="1" customWidth="1"/>
    <col min="12252" max="12252" width="15.875" style="7" bestFit="1" customWidth="1"/>
    <col min="12253" max="12493" width="9" style="7"/>
    <col min="12494" max="12494" width="5.375" style="7" customWidth="1"/>
    <col min="12495" max="12495" width="35.25" style="7" customWidth="1"/>
    <col min="12496" max="12496" width="13.125" style="7" customWidth="1"/>
    <col min="12497" max="12497" width="11.875" style="7" customWidth="1"/>
    <col min="12498" max="12498" width="15.625" style="7" customWidth="1"/>
    <col min="12499" max="12499" width="16" style="7" customWidth="1"/>
    <col min="12500" max="12502" width="16.125" style="7" customWidth="1"/>
    <col min="12503" max="12503" width="13.25" style="7" customWidth="1"/>
    <col min="12504" max="12504" width="14.5" style="7" bestFit="1" customWidth="1"/>
    <col min="12505" max="12505" width="14.75" style="7" customWidth="1"/>
    <col min="12506" max="12506" width="8.875" style="7" bestFit="1" customWidth="1"/>
    <col min="12507" max="12507" width="11.125" style="7" bestFit="1" customWidth="1"/>
    <col min="12508" max="12508" width="15.875" style="7" bestFit="1" customWidth="1"/>
    <col min="12509" max="12749" width="9" style="7"/>
    <col min="12750" max="12750" width="5.375" style="7" customWidth="1"/>
    <col min="12751" max="12751" width="35.25" style="7" customWidth="1"/>
    <col min="12752" max="12752" width="13.125" style="7" customWidth="1"/>
    <col min="12753" max="12753" width="11.875" style="7" customWidth="1"/>
    <col min="12754" max="12754" width="15.625" style="7" customWidth="1"/>
    <col min="12755" max="12755" width="16" style="7" customWidth="1"/>
    <col min="12756" max="12758" width="16.125" style="7" customWidth="1"/>
    <col min="12759" max="12759" width="13.25" style="7" customWidth="1"/>
    <col min="12760" max="12760" width="14.5" style="7" bestFit="1" customWidth="1"/>
    <col min="12761" max="12761" width="14.75" style="7" customWidth="1"/>
    <col min="12762" max="12762" width="8.875" style="7" bestFit="1" customWidth="1"/>
    <col min="12763" max="12763" width="11.125" style="7" bestFit="1" customWidth="1"/>
    <col min="12764" max="12764" width="15.875" style="7" bestFit="1" customWidth="1"/>
    <col min="12765" max="13005" width="9" style="7"/>
    <col min="13006" max="13006" width="5.375" style="7" customWidth="1"/>
    <col min="13007" max="13007" width="35.25" style="7" customWidth="1"/>
    <col min="13008" max="13008" width="13.125" style="7" customWidth="1"/>
    <col min="13009" max="13009" width="11.875" style="7" customWidth="1"/>
    <col min="13010" max="13010" width="15.625" style="7" customWidth="1"/>
    <col min="13011" max="13011" width="16" style="7" customWidth="1"/>
    <col min="13012" max="13014" width="16.125" style="7" customWidth="1"/>
    <col min="13015" max="13015" width="13.25" style="7" customWidth="1"/>
    <col min="13016" max="13016" width="14.5" style="7" bestFit="1" customWidth="1"/>
    <col min="13017" max="13017" width="14.75" style="7" customWidth="1"/>
    <col min="13018" max="13018" width="8.875" style="7" bestFit="1" customWidth="1"/>
    <col min="13019" max="13019" width="11.125" style="7" bestFit="1" customWidth="1"/>
    <col min="13020" max="13020" width="15.875" style="7" bestFit="1" customWidth="1"/>
    <col min="13021" max="13261" width="9" style="7"/>
    <col min="13262" max="13262" width="5.375" style="7" customWidth="1"/>
    <col min="13263" max="13263" width="35.25" style="7" customWidth="1"/>
    <col min="13264" max="13264" width="13.125" style="7" customWidth="1"/>
    <col min="13265" max="13265" width="11.875" style="7" customWidth="1"/>
    <col min="13266" max="13266" width="15.625" style="7" customWidth="1"/>
    <col min="13267" max="13267" width="16" style="7" customWidth="1"/>
    <col min="13268" max="13270" width="16.125" style="7" customWidth="1"/>
    <col min="13271" max="13271" width="13.25" style="7" customWidth="1"/>
    <col min="13272" max="13272" width="14.5" style="7" bestFit="1" customWidth="1"/>
    <col min="13273" max="13273" width="14.75" style="7" customWidth="1"/>
    <col min="13274" max="13274" width="8.875" style="7" bestFit="1" customWidth="1"/>
    <col min="13275" max="13275" width="11.125" style="7" bestFit="1" customWidth="1"/>
    <col min="13276" max="13276" width="15.875" style="7" bestFit="1" customWidth="1"/>
    <col min="13277" max="13517" width="9" style="7"/>
    <col min="13518" max="13518" width="5.375" style="7" customWidth="1"/>
    <col min="13519" max="13519" width="35.25" style="7" customWidth="1"/>
    <col min="13520" max="13520" width="13.125" style="7" customWidth="1"/>
    <col min="13521" max="13521" width="11.875" style="7" customWidth="1"/>
    <col min="13522" max="13522" width="15.625" style="7" customWidth="1"/>
    <col min="13523" max="13523" width="16" style="7" customWidth="1"/>
    <col min="13524" max="13526" width="16.125" style="7" customWidth="1"/>
    <col min="13527" max="13527" width="13.25" style="7" customWidth="1"/>
    <col min="13528" max="13528" width="14.5" style="7" bestFit="1" customWidth="1"/>
    <col min="13529" max="13529" width="14.75" style="7" customWidth="1"/>
    <col min="13530" max="13530" width="8.875" style="7" bestFit="1" customWidth="1"/>
    <col min="13531" max="13531" width="11.125" style="7" bestFit="1" customWidth="1"/>
    <col min="13532" max="13532" width="15.875" style="7" bestFit="1" customWidth="1"/>
    <col min="13533" max="13773" width="9" style="7"/>
    <col min="13774" max="13774" width="5.375" style="7" customWidth="1"/>
    <col min="13775" max="13775" width="35.25" style="7" customWidth="1"/>
    <col min="13776" max="13776" width="13.125" style="7" customWidth="1"/>
    <col min="13777" max="13777" width="11.875" style="7" customWidth="1"/>
    <col min="13778" max="13778" width="15.625" style="7" customWidth="1"/>
    <col min="13779" max="13779" width="16" style="7" customWidth="1"/>
    <col min="13780" max="13782" width="16.125" style="7" customWidth="1"/>
    <col min="13783" max="13783" width="13.25" style="7" customWidth="1"/>
    <col min="13784" max="13784" width="14.5" style="7" bestFit="1" customWidth="1"/>
    <col min="13785" max="13785" width="14.75" style="7" customWidth="1"/>
    <col min="13786" max="13786" width="8.875" style="7" bestFit="1" customWidth="1"/>
    <col min="13787" max="13787" width="11.125" style="7" bestFit="1" customWidth="1"/>
    <col min="13788" max="13788" width="15.875" style="7" bestFit="1" customWidth="1"/>
    <col min="13789" max="14029" width="9" style="7"/>
    <col min="14030" max="14030" width="5.375" style="7" customWidth="1"/>
    <col min="14031" max="14031" width="35.25" style="7" customWidth="1"/>
    <col min="14032" max="14032" width="13.125" style="7" customWidth="1"/>
    <col min="14033" max="14033" width="11.875" style="7" customWidth="1"/>
    <col min="14034" max="14034" width="15.625" style="7" customWidth="1"/>
    <col min="14035" max="14035" width="16" style="7" customWidth="1"/>
    <col min="14036" max="14038" width="16.125" style="7" customWidth="1"/>
    <col min="14039" max="14039" width="13.25" style="7" customWidth="1"/>
    <col min="14040" max="14040" width="14.5" style="7" bestFit="1" customWidth="1"/>
    <col min="14041" max="14041" width="14.75" style="7" customWidth="1"/>
    <col min="14042" max="14042" width="8.875" style="7" bestFit="1" customWidth="1"/>
    <col min="14043" max="14043" width="11.125" style="7" bestFit="1" customWidth="1"/>
    <col min="14044" max="14044" width="15.875" style="7" bestFit="1" customWidth="1"/>
    <col min="14045" max="14285" width="9" style="7"/>
    <col min="14286" max="14286" width="5.375" style="7" customWidth="1"/>
    <col min="14287" max="14287" width="35.25" style="7" customWidth="1"/>
    <col min="14288" max="14288" width="13.125" style="7" customWidth="1"/>
    <col min="14289" max="14289" width="11.875" style="7" customWidth="1"/>
    <col min="14290" max="14290" width="15.625" style="7" customWidth="1"/>
    <col min="14291" max="14291" width="16" style="7" customWidth="1"/>
    <col min="14292" max="14294" width="16.125" style="7" customWidth="1"/>
    <col min="14295" max="14295" width="13.25" style="7" customWidth="1"/>
    <col min="14296" max="14296" width="14.5" style="7" bestFit="1" customWidth="1"/>
    <col min="14297" max="14297" width="14.75" style="7" customWidth="1"/>
    <col min="14298" max="14298" width="8.875" style="7" bestFit="1" customWidth="1"/>
    <col min="14299" max="14299" width="11.125" style="7" bestFit="1" customWidth="1"/>
    <col min="14300" max="14300" width="15.875" style="7" bestFit="1" customWidth="1"/>
    <col min="14301" max="14541" width="9" style="7"/>
    <col min="14542" max="14542" width="5.375" style="7" customWidth="1"/>
    <col min="14543" max="14543" width="35.25" style="7" customWidth="1"/>
    <col min="14544" max="14544" width="13.125" style="7" customWidth="1"/>
    <col min="14545" max="14545" width="11.875" style="7" customWidth="1"/>
    <col min="14546" max="14546" width="15.625" style="7" customWidth="1"/>
    <col min="14547" max="14547" width="16" style="7" customWidth="1"/>
    <col min="14548" max="14550" width="16.125" style="7" customWidth="1"/>
    <col min="14551" max="14551" width="13.25" style="7" customWidth="1"/>
    <col min="14552" max="14552" width="14.5" style="7" bestFit="1" customWidth="1"/>
    <col min="14553" max="14553" width="14.75" style="7" customWidth="1"/>
    <col min="14554" max="14554" width="8.875" style="7" bestFit="1" customWidth="1"/>
    <col min="14555" max="14555" width="11.125" style="7" bestFit="1" customWidth="1"/>
    <col min="14556" max="14556" width="15.875" style="7" bestFit="1" customWidth="1"/>
    <col min="14557" max="14797" width="9" style="7"/>
    <col min="14798" max="14798" width="5.375" style="7" customWidth="1"/>
    <col min="14799" max="14799" width="35.25" style="7" customWidth="1"/>
    <col min="14800" max="14800" width="13.125" style="7" customWidth="1"/>
    <col min="14801" max="14801" width="11.875" style="7" customWidth="1"/>
    <col min="14802" max="14802" width="15.625" style="7" customWidth="1"/>
    <col min="14803" max="14803" width="16" style="7" customWidth="1"/>
    <col min="14804" max="14806" width="16.125" style="7" customWidth="1"/>
    <col min="14807" max="14807" width="13.25" style="7" customWidth="1"/>
    <col min="14808" max="14808" width="14.5" style="7" bestFit="1" customWidth="1"/>
    <col min="14809" max="14809" width="14.75" style="7" customWidth="1"/>
    <col min="14810" max="14810" width="8.875" style="7" bestFit="1" customWidth="1"/>
    <col min="14811" max="14811" width="11.125" style="7" bestFit="1" customWidth="1"/>
    <col min="14812" max="14812" width="15.875" style="7" bestFit="1" customWidth="1"/>
    <col min="14813" max="15053" width="9" style="7"/>
    <col min="15054" max="15054" width="5.375" style="7" customWidth="1"/>
    <col min="15055" max="15055" width="35.25" style="7" customWidth="1"/>
    <col min="15056" max="15056" width="13.125" style="7" customWidth="1"/>
    <col min="15057" max="15057" width="11.875" style="7" customWidth="1"/>
    <col min="15058" max="15058" width="15.625" style="7" customWidth="1"/>
    <col min="15059" max="15059" width="16" style="7" customWidth="1"/>
    <col min="15060" max="15062" width="16.125" style="7" customWidth="1"/>
    <col min="15063" max="15063" width="13.25" style="7" customWidth="1"/>
    <col min="15064" max="15064" width="14.5" style="7" bestFit="1" customWidth="1"/>
    <col min="15065" max="15065" width="14.75" style="7" customWidth="1"/>
    <col min="15066" max="15066" width="8.875" style="7" bestFit="1" customWidth="1"/>
    <col min="15067" max="15067" width="11.125" style="7" bestFit="1" customWidth="1"/>
    <col min="15068" max="15068" width="15.875" style="7" bestFit="1" customWidth="1"/>
    <col min="15069" max="15309" width="9" style="7"/>
    <col min="15310" max="15310" width="5.375" style="7" customWidth="1"/>
    <col min="15311" max="15311" width="35.25" style="7" customWidth="1"/>
    <col min="15312" max="15312" width="13.125" style="7" customWidth="1"/>
    <col min="15313" max="15313" width="11.875" style="7" customWidth="1"/>
    <col min="15314" max="15314" width="15.625" style="7" customWidth="1"/>
    <col min="15315" max="15315" width="16" style="7" customWidth="1"/>
    <col min="15316" max="15318" width="16.125" style="7" customWidth="1"/>
    <col min="15319" max="15319" width="13.25" style="7" customWidth="1"/>
    <col min="15320" max="15320" width="14.5" style="7" bestFit="1" customWidth="1"/>
    <col min="15321" max="15321" width="14.75" style="7" customWidth="1"/>
    <col min="15322" max="15322" width="8.875" style="7" bestFit="1" customWidth="1"/>
    <col min="15323" max="15323" width="11.125" style="7" bestFit="1" customWidth="1"/>
    <col min="15324" max="15324" width="15.875" style="7" bestFit="1" customWidth="1"/>
    <col min="15325" max="15565" width="9" style="7"/>
    <col min="15566" max="15566" width="5.375" style="7" customWidth="1"/>
    <col min="15567" max="15567" width="35.25" style="7" customWidth="1"/>
    <col min="15568" max="15568" width="13.125" style="7" customWidth="1"/>
    <col min="15569" max="15569" width="11.875" style="7" customWidth="1"/>
    <col min="15570" max="15570" width="15.625" style="7" customWidth="1"/>
    <col min="15571" max="15571" width="16" style="7" customWidth="1"/>
    <col min="15572" max="15574" width="16.125" style="7" customWidth="1"/>
    <col min="15575" max="15575" width="13.25" style="7" customWidth="1"/>
    <col min="15576" max="15576" width="14.5" style="7" bestFit="1" customWidth="1"/>
    <col min="15577" max="15577" width="14.75" style="7" customWidth="1"/>
    <col min="15578" max="15578" width="8.875" style="7" bestFit="1" customWidth="1"/>
    <col min="15579" max="15579" width="11.125" style="7" bestFit="1" customWidth="1"/>
    <col min="15580" max="15580" width="15.875" style="7" bestFit="1" customWidth="1"/>
    <col min="15581" max="15821" width="9" style="7"/>
    <col min="15822" max="15822" width="5.375" style="7" customWidth="1"/>
    <col min="15823" max="15823" width="35.25" style="7" customWidth="1"/>
    <col min="15824" max="15824" width="13.125" style="7" customWidth="1"/>
    <col min="15825" max="15825" width="11.875" style="7" customWidth="1"/>
    <col min="15826" max="15826" width="15.625" style="7" customWidth="1"/>
    <col min="15827" max="15827" width="16" style="7" customWidth="1"/>
    <col min="15828" max="15830" width="16.125" style="7" customWidth="1"/>
    <col min="15831" max="15831" width="13.25" style="7" customWidth="1"/>
    <col min="15832" max="15832" width="14.5" style="7" bestFit="1" customWidth="1"/>
    <col min="15833" max="15833" width="14.75" style="7" customWidth="1"/>
    <col min="15834" max="15834" width="8.875" style="7" bestFit="1" customWidth="1"/>
    <col min="15835" max="15835" width="11.125" style="7" bestFit="1" customWidth="1"/>
    <col min="15836" max="15836" width="15.875" style="7" bestFit="1" customWidth="1"/>
    <col min="15837" max="16077" width="9" style="7"/>
    <col min="16078" max="16078" width="5.375" style="7" customWidth="1"/>
    <col min="16079" max="16079" width="35.25" style="7" customWidth="1"/>
    <col min="16080" max="16080" width="13.125" style="7" customWidth="1"/>
    <col min="16081" max="16081" width="11.875" style="7" customWidth="1"/>
    <col min="16082" max="16082" width="15.625" style="7" customWidth="1"/>
    <col min="16083" max="16083" width="16" style="7" customWidth="1"/>
    <col min="16084" max="16086" width="16.125" style="7" customWidth="1"/>
    <col min="16087" max="16087" width="13.25" style="7" customWidth="1"/>
    <col min="16088" max="16088" width="14.5" style="7" bestFit="1" customWidth="1"/>
    <col min="16089" max="16089" width="14.75" style="7" customWidth="1"/>
    <col min="16090" max="16090" width="8.875" style="7" bestFit="1" customWidth="1"/>
    <col min="16091" max="16091" width="11.125" style="7" bestFit="1" customWidth="1"/>
    <col min="16092" max="16092" width="15.875" style="7" bestFit="1" customWidth="1"/>
    <col min="16093" max="16384" width="9" style="7"/>
  </cols>
  <sheetData>
    <row r="1" spans="1:10" ht="20.25" x14ac:dyDescent="0.3">
      <c r="A1" s="98"/>
      <c r="B1" s="98"/>
      <c r="C1" s="98"/>
      <c r="D1" s="98"/>
      <c r="E1" s="36"/>
      <c r="F1" s="98"/>
      <c r="G1" s="98"/>
      <c r="H1" s="98"/>
      <c r="I1" s="98"/>
      <c r="J1" s="98"/>
    </row>
    <row r="2" spans="1:10" ht="18.75" x14ac:dyDescent="0.3">
      <c r="A2" s="99" t="s">
        <v>190</v>
      </c>
      <c r="B2" s="99"/>
      <c r="C2" s="99"/>
      <c r="D2" s="99"/>
      <c r="E2" s="99"/>
      <c r="F2" s="99"/>
      <c r="G2" s="99"/>
      <c r="H2" s="99"/>
      <c r="I2" s="99"/>
      <c r="J2" s="99"/>
    </row>
    <row r="3" spans="1:10" ht="18.75" x14ac:dyDescent="0.3">
      <c r="A3" s="102" t="s">
        <v>191</v>
      </c>
      <c r="B3" s="102"/>
      <c r="C3" s="102"/>
      <c r="D3" s="102"/>
      <c r="E3" s="102"/>
      <c r="F3" s="102"/>
      <c r="G3" s="102"/>
      <c r="H3" s="102"/>
      <c r="I3" s="102"/>
      <c r="J3" s="102"/>
    </row>
    <row r="4" spans="1:10" x14ac:dyDescent="0.25">
      <c r="C4" s="37"/>
      <c r="D4" s="37"/>
      <c r="E4" s="37"/>
      <c r="F4" s="37"/>
      <c r="G4" s="38"/>
      <c r="H4" s="38"/>
      <c r="I4" s="38"/>
      <c r="J4" s="38" t="s">
        <v>119</v>
      </c>
    </row>
    <row r="5" spans="1:10" x14ac:dyDescent="0.25">
      <c r="A5" s="103" t="s">
        <v>120</v>
      </c>
      <c r="B5" s="103" t="s">
        <v>121</v>
      </c>
      <c r="C5" s="105" t="s">
        <v>148</v>
      </c>
      <c r="D5" s="105"/>
      <c r="E5" s="105"/>
      <c r="F5" s="105"/>
      <c r="G5" s="105"/>
      <c r="H5" s="105"/>
      <c r="I5" s="105"/>
      <c r="J5" s="106" t="s">
        <v>122</v>
      </c>
    </row>
    <row r="6" spans="1:10" x14ac:dyDescent="0.25">
      <c r="A6" s="103"/>
      <c r="B6" s="103"/>
      <c r="C6" s="108" t="s">
        <v>123</v>
      </c>
      <c r="D6" s="108" t="s">
        <v>124</v>
      </c>
      <c r="E6" s="100" t="s">
        <v>125</v>
      </c>
      <c r="F6" s="100" t="s">
        <v>126</v>
      </c>
      <c r="G6" s="100" t="s">
        <v>127</v>
      </c>
      <c r="H6" s="100" t="s">
        <v>128</v>
      </c>
      <c r="I6" s="100" t="s">
        <v>129</v>
      </c>
      <c r="J6" s="106"/>
    </row>
    <row r="7" spans="1:10" x14ac:dyDescent="0.25">
      <c r="A7" s="104"/>
      <c r="B7" s="104"/>
      <c r="C7" s="100"/>
      <c r="D7" s="100"/>
      <c r="E7" s="101"/>
      <c r="F7" s="101"/>
      <c r="G7" s="101"/>
      <c r="H7" s="101"/>
      <c r="I7" s="101"/>
      <c r="J7" s="107"/>
    </row>
    <row r="8" spans="1:10" x14ac:dyDescent="0.25">
      <c r="A8" s="83" t="s">
        <v>23</v>
      </c>
      <c r="B8" s="87" t="s">
        <v>154</v>
      </c>
      <c r="C8" s="84"/>
      <c r="D8" s="84"/>
      <c r="E8" s="84"/>
      <c r="F8" s="88">
        <f>F9+F20+F42</f>
        <v>249388000</v>
      </c>
      <c r="G8" s="88">
        <f t="shared" ref="G8:I8" si="0">G9+G20+G42</f>
        <v>0</v>
      </c>
      <c r="H8" s="88">
        <f t="shared" si="0"/>
        <v>0</v>
      </c>
      <c r="I8" s="88">
        <f t="shared" si="0"/>
        <v>249388000</v>
      </c>
      <c r="J8" s="85"/>
    </row>
    <row r="9" spans="1:10" ht="31.5" x14ac:dyDescent="0.25">
      <c r="A9" s="39" t="s">
        <v>25</v>
      </c>
      <c r="B9" s="40" t="s">
        <v>130</v>
      </c>
      <c r="C9" s="80" t="s">
        <v>157</v>
      </c>
      <c r="D9" s="81">
        <v>44910</v>
      </c>
      <c r="E9" s="41">
        <f>SUM(E10:E16)</f>
        <v>0</v>
      </c>
      <c r="F9" s="41">
        <f>SUM(F10:F19)</f>
        <v>10759000</v>
      </c>
      <c r="G9" s="41">
        <f t="shared" ref="G9:I9" si="1">SUM(G10:G19)</f>
        <v>0</v>
      </c>
      <c r="H9" s="41">
        <f t="shared" si="1"/>
        <v>0</v>
      </c>
      <c r="I9" s="41">
        <f t="shared" si="1"/>
        <v>10759000</v>
      </c>
      <c r="J9" s="42"/>
    </row>
    <row r="10" spans="1:10" x14ac:dyDescent="0.25">
      <c r="A10" s="43">
        <v>1</v>
      </c>
      <c r="B10" s="44" t="s">
        <v>131</v>
      </c>
      <c r="C10" s="45"/>
      <c r="D10" s="46"/>
      <c r="E10" s="47"/>
      <c r="F10" s="47">
        <v>8731000</v>
      </c>
      <c r="G10" s="48"/>
      <c r="H10" s="48"/>
      <c r="I10" s="48">
        <f t="shared" ref="I10:I19" si="2">F10+G10+E10-H10</f>
        <v>8731000</v>
      </c>
      <c r="J10" s="49"/>
    </row>
    <row r="11" spans="1:10" x14ac:dyDescent="0.25">
      <c r="A11" s="43">
        <v>2</v>
      </c>
      <c r="B11" s="44" t="s">
        <v>132</v>
      </c>
      <c r="C11" s="45"/>
      <c r="D11" s="46"/>
      <c r="E11" s="47"/>
      <c r="F11" s="47">
        <v>40000</v>
      </c>
      <c r="G11" s="48"/>
      <c r="H11" s="48"/>
      <c r="I11" s="48">
        <f t="shared" si="2"/>
        <v>40000</v>
      </c>
      <c r="J11" s="50"/>
    </row>
    <row r="12" spans="1:10" x14ac:dyDescent="0.25">
      <c r="A12" s="43">
        <v>3</v>
      </c>
      <c r="B12" s="51" t="s">
        <v>54</v>
      </c>
      <c r="C12" s="45"/>
      <c r="D12" s="46"/>
      <c r="E12" s="47"/>
      <c r="F12" s="47">
        <v>409000</v>
      </c>
      <c r="G12" s="48"/>
      <c r="H12" s="48"/>
      <c r="I12" s="48">
        <f t="shared" si="2"/>
        <v>409000</v>
      </c>
      <c r="J12" s="50"/>
    </row>
    <row r="13" spans="1:10" x14ac:dyDescent="0.25">
      <c r="A13" s="43">
        <v>4</v>
      </c>
      <c r="B13" s="51" t="s">
        <v>133</v>
      </c>
      <c r="C13" s="45"/>
      <c r="D13" s="46"/>
      <c r="E13" s="47"/>
      <c r="F13" s="47">
        <v>9000</v>
      </c>
      <c r="G13" s="48"/>
      <c r="H13" s="48"/>
      <c r="I13" s="48">
        <f t="shared" si="2"/>
        <v>9000</v>
      </c>
      <c r="J13" s="50"/>
    </row>
    <row r="14" spans="1:10" x14ac:dyDescent="0.25">
      <c r="A14" s="43">
        <v>5</v>
      </c>
      <c r="B14" s="51" t="s">
        <v>134</v>
      </c>
      <c r="C14" s="45"/>
      <c r="D14" s="46"/>
      <c r="E14" s="47"/>
      <c r="F14" s="47">
        <v>18000</v>
      </c>
      <c r="G14" s="48"/>
      <c r="H14" s="48"/>
      <c r="I14" s="48">
        <f t="shared" si="2"/>
        <v>18000</v>
      </c>
      <c r="J14" s="50"/>
    </row>
    <row r="15" spans="1:10" ht="47.25" x14ac:dyDescent="0.25">
      <c r="A15" s="43">
        <v>6</v>
      </c>
      <c r="B15" s="77" t="s">
        <v>57</v>
      </c>
      <c r="C15" s="45"/>
      <c r="D15" s="46"/>
      <c r="E15" s="47"/>
      <c r="F15" s="47">
        <v>94000</v>
      </c>
      <c r="G15" s="48"/>
      <c r="H15" s="48"/>
      <c r="I15" s="48">
        <f t="shared" si="2"/>
        <v>94000</v>
      </c>
      <c r="J15" s="50"/>
    </row>
    <row r="16" spans="1:10" ht="31.5" x14ac:dyDescent="0.25">
      <c r="A16" s="43">
        <v>7</v>
      </c>
      <c r="B16" s="77" t="s">
        <v>58</v>
      </c>
      <c r="C16" s="45"/>
      <c r="D16" s="46"/>
      <c r="E16" s="47"/>
      <c r="F16" s="47">
        <v>135000</v>
      </c>
      <c r="G16" s="48"/>
      <c r="H16" s="48"/>
      <c r="I16" s="48">
        <f t="shared" si="2"/>
        <v>135000</v>
      </c>
      <c r="J16" s="50"/>
    </row>
    <row r="17" spans="1:10" x14ac:dyDescent="0.25">
      <c r="A17" s="43">
        <v>8</v>
      </c>
      <c r="B17" s="77" t="s">
        <v>59</v>
      </c>
      <c r="C17" s="45"/>
      <c r="D17" s="46"/>
      <c r="E17" s="47"/>
      <c r="F17" s="47">
        <v>450000</v>
      </c>
      <c r="G17" s="48"/>
      <c r="H17" s="48"/>
      <c r="I17" s="48">
        <f t="shared" si="2"/>
        <v>450000</v>
      </c>
      <c r="J17" s="50"/>
    </row>
    <row r="18" spans="1:10" ht="31.5" x14ac:dyDescent="0.25">
      <c r="A18" s="43">
        <v>9</v>
      </c>
      <c r="B18" s="77" t="s">
        <v>60</v>
      </c>
      <c r="C18" s="45"/>
      <c r="D18" s="46"/>
      <c r="E18" s="47"/>
      <c r="F18" s="47">
        <v>432000</v>
      </c>
      <c r="G18" s="48"/>
      <c r="H18" s="48"/>
      <c r="I18" s="48">
        <f t="shared" si="2"/>
        <v>432000</v>
      </c>
      <c r="J18" s="50"/>
    </row>
    <row r="19" spans="1:10" ht="31.5" x14ac:dyDescent="0.25">
      <c r="A19" s="43">
        <v>10</v>
      </c>
      <c r="B19" s="77" t="s">
        <v>61</v>
      </c>
      <c r="C19" s="45"/>
      <c r="D19" s="46"/>
      <c r="E19" s="47"/>
      <c r="F19" s="47">
        <v>441000</v>
      </c>
      <c r="G19" s="48"/>
      <c r="H19" s="48"/>
      <c r="I19" s="48">
        <f t="shared" si="2"/>
        <v>441000</v>
      </c>
      <c r="J19" s="50"/>
    </row>
    <row r="20" spans="1:10" ht="31.5" x14ac:dyDescent="0.25">
      <c r="A20" s="17" t="s">
        <v>44</v>
      </c>
      <c r="B20" s="53" t="s">
        <v>135</v>
      </c>
      <c r="C20" s="80" t="s">
        <v>157</v>
      </c>
      <c r="D20" s="81">
        <v>44910</v>
      </c>
      <c r="E20" s="56">
        <f>E21+E23</f>
        <v>0</v>
      </c>
      <c r="F20" s="56">
        <f>F21+F23</f>
        <v>237452000</v>
      </c>
      <c r="G20" s="56">
        <f t="shared" ref="G20:I20" si="3">G21+G23</f>
        <v>0</v>
      </c>
      <c r="H20" s="56">
        <f t="shared" si="3"/>
        <v>0</v>
      </c>
      <c r="I20" s="56">
        <f t="shared" si="3"/>
        <v>237452000</v>
      </c>
      <c r="J20" s="50"/>
    </row>
    <row r="21" spans="1:10" x14ac:dyDescent="0.25">
      <c r="A21" s="57">
        <v>1</v>
      </c>
      <c r="B21" s="58" t="s">
        <v>136</v>
      </c>
      <c r="C21" s="59"/>
      <c r="D21" s="60"/>
      <c r="E21" s="56">
        <f>E22</f>
        <v>0</v>
      </c>
      <c r="F21" s="56">
        <f>F22</f>
        <v>183011000</v>
      </c>
      <c r="G21" s="56">
        <f>G22</f>
        <v>0</v>
      </c>
      <c r="H21" s="56">
        <f>H22</f>
        <v>0</v>
      </c>
      <c r="I21" s="56">
        <f>I22</f>
        <v>183011000</v>
      </c>
      <c r="J21" s="49"/>
    </row>
    <row r="22" spans="1:10" x14ac:dyDescent="0.25">
      <c r="A22" s="43"/>
      <c r="B22" s="44" t="s">
        <v>131</v>
      </c>
      <c r="C22" s="45"/>
      <c r="D22" s="46"/>
      <c r="E22" s="47"/>
      <c r="F22" s="47">
        <v>183011000</v>
      </c>
      <c r="G22" s="47"/>
      <c r="H22" s="47"/>
      <c r="I22" s="48">
        <f>F22+G22+E22-H22</f>
        <v>183011000</v>
      </c>
      <c r="J22" s="50"/>
    </row>
    <row r="23" spans="1:10" s="61" customFormat="1" x14ac:dyDescent="0.25">
      <c r="A23" s="57">
        <v>2</v>
      </c>
      <c r="B23" s="53" t="s">
        <v>137</v>
      </c>
      <c r="C23" s="59"/>
      <c r="D23" s="60"/>
      <c r="E23" s="56">
        <f>SUM(E24:E32)+E35+E36</f>
        <v>0</v>
      </c>
      <c r="F23" s="56">
        <f>SUM(F24:F32)+F35+F36+F33+F34+F37+F38+F39+F40+F41</f>
        <v>54441000</v>
      </c>
      <c r="G23" s="56">
        <f t="shared" ref="G23:I23" si="4">SUM(G24:G32)+G35+G36+G33+G34+G37+G38+G39+G40+G41</f>
        <v>0</v>
      </c>
      <c r="H23" s="56">
        <f t="shared" si="4"/>
        <v>0</v>
      </c>
      <c r="I23" s="56">
        <f t="shared" si="4"/>
        <v>54441000</v>
      </c>
      <c r="J23" s="49"/>
    </row>
    <row r="24" spans="1:10" x14ac:dyDescent="0.25">
      <c r="A24" s="43" t="s">
        <v>35</v>
      </c>
      <c r="B24" s="44" t="s">
        <v>73</v>
      </c>
      <c r="C24" s="45"/>
      <c r="D24" s="46"/>
      <c r="E24" s="47"/>
      <c r="F24" s="47">
        <v>4396000</v>
      </c>
      <c r="G24" s="47"/>
      <c r="H24" s="47"/>
      <c r="I24" s="48">
        <f t="shared" ref="I24:I41" si="5">F24+G24+E24-H24</f>
        <v>4396000</v>
      </c>
      <c r="J24" s="62"/>
    </row>
    <row r="25" spans="1:10" ht="31.5" x14ac:dyDescent="0.25">
      <c r="A25" s="43" t="s">
        <v>42</v>
      </c>
      <c r="B25" s="77" t="s">
        <v>64</v>
      </c>
      <c r="C25" s="45"/>
      <c r="D25" s="46"/>
      <c r="E25" s="47"/>
      <c r="F25" s="47">
        <v>2850000</v>
      </c>
      <c r="G25" s="47"/>
      <c r="H25" s="47"/>
      <c r="I25" s="48">
        <f t="shared" si="5"/>
        <v>2850000</v>
      </c>
      <c r="J25" s="50"/>
    </row>
    <row r="26" spans="1:10" ht="31.5" x14ac:dyDescent="0.25">
      <c r="A26" s="43" t="s">
        <v>138</v>
      </c>
      <c r="B26" s="77" t="s">
        <v>74</v>
      </c>
      <c r="C26" s="45"/>
      <c r="D26" s="46"/>
      <c r="E26" s="47"/>
      <c r="F26" s="47">
        <v>240000</v>
      </c>
      <c r="G26" s="47"/>
      <c r="H26" s="47"/>
      <c r="I26" s="48">
        <f t="shared" si="5"/>
        <v>240000</v>
      </c>
      <c r="J26" s="50"/>
    </row>
    <row r="27" spans="1:10" ht="31.5" x14ac:dyDescent="0.25">
      <c r="A27" s="43" t="s">
        <v>139</v>
      </c>
      <c r="B27" s="77" t="s">
        <v>65</v>
      </c>
      <c r="C27" s="45"/>
      <c r="D27" s="46"/>
      <c r="E27" s="47"/>
      <c r="F27" s="47">
        <v>4500000</v>
      </c>
      <c r="G27" s="47"/>
      <c r="H27" s="47"/>
      <c r="I27" s="48">
        <f t="shared" si="5"/>
        <v>4500000</v>
      </c>
      <c r="J27" s="50"/>
    </row>
    <row r="28" spans="1:10" ht="47.25" x14ac:dyDescent="0.25">
      <c r="A28" s="43" t="s">
        <v>140</v>
      </c>
      <c r="B28" s="77" t="s">
        <v>118</v>
      </c>
      <c r="C28" s="45"/>
      <c r="D28" s="46"/>
      <c r="E28" s="47"/>
      <c r="F28" s="47">
        <v>4950000</v>
      </c>
      <c r="G28" s="47"/>
      <c r="H28" s="47"/>
      <c r="I28" s="48">
        <f t="shared" si="5"/>
        <v>4950000</v>
      </c>
      <c r="J28" s="50"/>
    </row>
    <row r="29" spans="1:10" ht="31.5" x14ac:dyDescent="0.25">
      <c r="A29" s="43" t="s">
        <v>141</v>
      </c>
      <c r="B29" s="77" t="s">
        <v>80</v>
      </c>
      <c r="C29" s="45"/>
      <c r="D29" s="46"/>
      <c r="E29" s="47"/>
      <c r="F29" s="47">
        <v>4050000</v>
      </c>
      <c r="G29" s="47"/>
      <c r="H29" s="47"/>
      <c r="I29" s="48">
        <f t="shared" si="5"/>
        <v>4050000</v>
      </c>
      <c r="J29" s="50"/>
    </row>
    <row r="30" spans="1:10" ht="47.25" x14ac:dyDescent="0.25">
      <c r="A30" s="43" t="s">
        <v>142</v>
      </c>
      <c r="B30" s="77" t="s">
        <v>81</v>
      </c>
      <c r="C30" s="45"/>
      <c r="D30" s="46"/>
      <c r="E30" s="47"/>
      <c r="F30" s="47">
        <v>2700000</v>
      </c>
      <c r="G30" s="47"/>
      <c r="H30" s="47"/>
      <c r="I30" s="48">
        <f t="shared" si="5"/>
        <v>2700000</v>
      </c>
      <c r="J30" s="50"/>
    </row>
    <row r="31" spans="1:10" ht="31.5" x14ac:dyDescent="0.25">
      <c r="A31" s="43" t="s">
        <v>143</v>
      </c>
      <c r="B31" s="77" t="s">
        <v>66</v>
      </c>
      <c r="C31" s="45"/>
      <c r="D31" s="46"/>
      <c r="E31" s="47"/>
      <c r="F31" s="47">
        <v>360000</v>
      </c>
      <c r="G31" s="47"/>
      <c r="H31" s="47"/>
      <c r="I31" s="48">
        <f t="shared" si="5"/>
        <v>360000</v>
      </c>
      <c r="J31" s="50"/>
    </row>
    <row r="32" spans="1:10" ht="90.75" customHeight="1" x14ac:dyDescent="0.25">
      <c r="A32" s="43" t="s">
        <v>144</v>
      </c>
      <c r="B32" s="77" t="s">
        <v>111</v>
      </c>
      <c r="C32" s="47"/>
      <c r="D32" s="47"/>
      <c r="E32" s="47"/>
      <c r="F32" s="47">
        <v>291000</v>
      </c>
      <c r="G32" s="47"/>
      <c r="H32" s="47"/>
      <c r="I32" s="48">
        <f t="shared" si="5"/>
        <v>291000</v>
      </c>
      <c r="J32" s="50"/>
    </row>
    <row r="33" spans="1:10" ht="125.25" customHeight="1" x14ac:dyDescent="0.25">
      <c r="A33" s="43" t="s">
        <v>145</v>
      </c>
      <c r="B33" s="78" t="s">
        <v>75</v>
      </c>
      <c r="C33" s="45"/>
      <c r="D33" s="46"/>
      <c r="E33" s="47"/>
      <c r="F33" s="47">
        <v>34000</v>
      </c>
      <c r="G33" s="48"/>
      <c r="H33" s="48"/>
      <c r="I33" s="48">
        <f t="shared" si="5"/>
        <v>34000</v>
      </c>
      <c r="J33" s="50"/>
    </row>
    <row r="34" spans="1:10" ht="101.25" customHeight="1" x14ac:dyDescent="0.25">
      <c r="A34" s="43" t="s">
        <v>158</v>
      </c>
      <c r="B34" s="78" t="s">
        <v>112</v>
      </c>
      <c r="C34" s="45"/>
      <c r="D34" s="46"/>
      <c r="E34" s="47"/>
      <c r="F34" s="47">
        <v>1800000</v>
      </c>
      <c r="G34" s="48"/>
      <c r="H34" s="48"/>
      <c r="I34" s="48">
        <f t="shared" si="5"/>
        <v>1800000</v>
      </c>
      <c r="J34" s="50"/>
    </row>
    <row r="35" spans="1:10" ht="31.5" x14ac:dyDescent="0.25">
      <c r="A35" s="43" t="s">
        <v>159</v>
      </c>
      <c r="B35" s="77" t="s">
        <v>76</v>
      </c>
      <c r="C35" s="45"/>
      <c r="D35" s="46"/>
      <c r="E35" s="47"/>
      <c r="F35" s="47">
        <v>22500000</v>
      </c>
      <c r="G35" s="47"/>
      <c r="H35" s="47"/>
      <c r="I35" s="48">
        <f t="shared" si="5"/>
        <v>22500000</v>
      </c>
      <c r="J35" s="50"/>
    </row>
    <row r="36" spans="1:10" ht="47.25" x14ac:dyDescent="0.25">
      <c r="A36" s="43" t="s">
        <v>160</v>
      </c>
      <c r="B36" s="77" t="s">
        <v>77</v>
      </c>
      <c r="C36" s="45"/>
      <c r="D36" s="46"/>
      <c r="E36" s="47">
        <f>SUM(E37:E40)</f>
        <v>0</v>
      </c>
      <c r="F36" s="47">
        <v>405000</v>
      </c>
      <c r="G36" s="47">
        <f>SUM(G37:G40)</f>
        <v>0</v>
      </c>
      <c r="H36" s="47">
        <f>SUM(H37:H40)</f>
        <v>0</v>
      </c>
      <c r="I36" s="48">
        <f t="shared" si="5"/>
        <v>405000</v>
      </c>
      <c r="J36" s="50"/>
    </row>
    <row r="37" spans="1:10" ht="31.5" x14ac:dyDescent="0.25">
      <c r="A37" s="43" t="s">
        <v>161</v>
      </c>
      <c r="B37" s="77" t="s">
        <v>78</v>
      </c>
      <c r="C37" s="45"/>
      <c r="D37" s="46"/>
      <c r="E37" s="47"/>
      <c r="F37" s="47">
        <v>900000</v>
      </c>
      <c r="G37" s="48"/>
      <c r="H37" s="48"/>
      <c r="I37" s="48">
        <f t="shared" si="5"/>
        <v>900000</v>
      </c>
      <c r="J37" s="79"/>
    </row>
    <row r="38" spans="1:10" ht="78.75" x14ac:dyDescent="0.25">
      <c r="A38" s="43" t="s">
        <v>162</v>
      </c>
      <c r="B38" s="77" t="s">
        <v>113</v>
      </c>
      <c r="C38" s="45"/>
      <c r="D38" s="46"/>
      <c r="E38" s="47"/>
      <c r="F38" s="47">
        <v>900000</v>
      </c>
      <c r="G38" s="48"/>
      <c r="H38" s="48"/>
      <c r="I38" s="48">
        <f t="shared" si="5"/>
        <v>900000</v>
      </c>
      <c r="J38" s="50"/>
    </row>
    <row r="39" spans="1:10" ht="118.5" customHeight="1" x14ac:dyDescent="0.25">
      <c r="A39" s="43" t="s">
        <v>163</v>
      </c>
      <c r="B39" s="86" t="s">
        <v>110</v>
      </c>
      <c r="C39" s="45"/>
      <c r="D39" s="46"/>
      <c r="E39" s="47"/>
      <c r="F39" s="47">
        <v>622000</v>
      </c>
      <c r="G39" s="48"/>
      <c r="H39" s="48"/>
      <c r="I39" s="48">
        <f t="shared" si="5"/>
        <v>622000</v>
      </c>
      <c r="J39" s="50"/>
    </row>
    <row r="40" spans="1:10" ht="82.5" customHeight="1" x14ac:dyDescent="0.25">
      <c r="A40" s="43" t="s">
        <v>164</v>
      </c>
      <c r="B40" s="86" t="s">
        <v>67</v>
      </c>
      <c r="C40" s="45"/>
      <c r="D40" s="46"/>
      <c r="E40" s="47"/>
      <c r="F40" s="47">
        <v>1143000</v>
      </c>
      <c r="G40" s="48"/>
      <c r="H40" s="48"/>
      <c r="I40" s="48">
        <f t="shared" si="5"/>
        <v>1143000</v>
      </c>
      <c r="J40" s="50"/>
    </row>
    <row r="41" spans="1:10" ht="36.75" customHeight="1" x14ac:dyDescent="0.25">
      <c r="A41" s="43" t="s">
        <v>165</v>
      </c>
      <c r="B41" s="77" t="s">
        <v>68</v>
      </c>
      <c r="C41" s="45"/>
      <c r="D41" s="46"/>
      <c r="E41" s="47"/>
      <c r="F41" s="47">
        <v>1800000</v>
      </c>
      <c r="G41" s="48"/>
      <c r="H41" s="48"/>
      <c r="I41" s="48">
        <f t="shared" si="5"/>
        <v>1800000</v>
      </c>
      <c r="J41" s="50"/>
    </row>
    <row r="42" spans="1:10" s="65" customFormat="1" x14ac:dyDescent="0.25">
      <c r="A42" s="57" t="s">
        <v>146</v>
      </c>
      <c r="B42" s="66" t="s">
        <v>147</v>
      </c>
      <c r="C42" s="54"/>
      <c r="D42" s="55"/>
      <c r="E42" s="56">
        <f>E43</f>
        <v>0</v>
      </c>
      <c r="F42" s="56">
        <f>F43</f>
        <v>1177000</v>
      </c>
      <c r="G42" s="56">
        <f t="shared" ref="G42:I42" si="6">G43</f>
        <v>0</v>
      </c>
      <c r="H42" s="56">
        <f t="shared" si="6"/>
        <v>0</v>
      </c>
      <c r="I42" s="56">
        <f t="shared" si="6"/>
        <v>1177000</v>
      </c>
      <c r="J42" s="49"/>
    </row>
    <row r="43" spans="1:10" ht="31.5" x14ac:dyDescent="0.25">
      <c r="A43" s="43"/>
      <c r="B43" s="52" t="s">
        <v>150</v>
      </c>
      <c r="C43" s="80" t="s">
        <v>157</v>
      </c>
      <c r="D43" s="81">
        <v>44910</v>
      </c>
      <c r="E43" s="47"/>
      <c r="F43" s="67">
        <v>1177000</v>
      </c>
      <c r="G43" s="67"/>
      <c r="H43" s="67"/>
      <c r="I43" s="68">
        <f>F43+G43+E43-H43</f>
        <v>1177000</v>
      </c>
      <c r="J43" s="50"/>
    </row>
    <row r="44" spans="1:10" x14ac:dyDescent="0.25">
      <c r="A44" s="57"/>
      <c r="B44" s="53" t="s">
        <v>152</v>
      </c>
      <c r="C44" s="59"/>
      <c r="D44" s="60"/>
      <c r="E44" s="69">
        <f>E9+E20+E42</f>
        <v>0</v>
      </c>
      <c r="F44" s="69">
        <f>F9+F20+F42</f>
        <v>249388000</v>
      </c>
      <c r="G44" s="69">
        <f>G9+G20+G42</f>
        <v>0</v>
      </c>
      <c r="H44" s="69">
        <f>H9+H20+H42</f>
        <v>0</v>
      </c>
      <c r="I44" s="69">
        <f>I9+I20+I42</f>
        <v>249388000</v>
      </c>
      <c r="J44" s="49"/>
    </row>
    <row r="45" spans="1:10" x14ac:dyDescent="0.25">
      <c r="A45" s="57"/>
      <c r="B45" s="53" t="s">
        <v>153</v>
      </c>
      <c r="C45" s="59"/>
      <c r="D45" s="60"/>
      <c r="E45" s="69"/>
      <c r="F45" s="69"/>
      <c r="G45" s="69"/>
      <c r="H45" s="69"/>
      <c r="I45" s="69"/>
      <c r="J45" s="49"/>
    </row>
    <row r="46" spans="1:10" ht="31.5" x14ac:dyDescent="0.25">
      <c r="A46" s="43">
        <v>1</v>
      </c>
      <c r="B46" s="77" t="s">
        <v>116</v>
      </c>
      <c r="C46" s="80" t="s">
        <v>151</v>
      </c>
      <c r="D46" s="81">
        <v>45091</v>
      </c>
      <c r="E46" s="82"/>
      <c r="F46" s="82"/>
      <c r="G46" s="82">
        <v>176000</v>
      </c>
      <c r="H46" s="82"/>
      <c r="I46" s="82">
        <f t="shared" ref="I46" si="7">F46+G46+E46-H46</f>
        <v>176000</v>
      </c>
      <c r="J46" s="49"/>
    </row>
    <row r="47" spans="1:10" x14ac:dyDescent="0.25">
      <c r="A47" s="43">
        <v>2</v>
      </c>
      <c r="B47" s="52" t="s">
        <v>149</v>
      </c>
      <c r="C47" s="80" t="s">
        <v>156</v>
      </c>
      <c r="D47" s="81">
        <v>44986</v>
      </c>
      <c r="E47" s="47"/>
      <c r="F47" s="67"/>
      <c r="G47" s="67">
        <v>46000</v>
      </c>
      <c r="H47" s="67"/>
      <c r="I47" s="68">
        <f>F47+G47+E47-H47</f>
        <v>46000</v>
      </c>
      <c r="J47" s="50"/>
    </row>
    <row r="48" spans="1:10" ht="31.5" x14ac:dyDescent="0.25">
      <c r="A48" s="43">
        <v>3</v>
      </c>
      <c r="B48" s="52" t="s">
        <v>166</v>
      </c>
      <c r="C48" s="80" t="s">
        <v>167</v>
      </c>
      <c r="D48" s="81">
        <v>45121</v>
      </c>
      <c r="E48" s="47"/>
      <c r="F48" s="67"/>
      <c r="G48" s="67">
        <v>50000000</v>
      </c>
      <c r="H48" s="67"/>
      <c r="I48" s="68">
        <f t="shared" ref="I48:I61" si="8">F48+G48+E48-H48</f>
        <v>50000000</v>
      </c>
      <c r="J48" s="50"/>
    </row>
    <row r="49" spans="1:10" ht="72" customHeight="1" x14ac:dyDescent="0.25">
      <c r="A49" s="43">
        <v>4</v>
      </c>
      <c r="B49" s="116" t="s">
        <v>195</v>
      </c>
      <c r="C49" s="80" t="s">
        <v>168</v>
      </c>
      <c r="D49" s="81">
        <v>45154</v>
      </c>
      <c r="E49" s="47"/>
      <c r="F49" s="67"/>
      <c r="G49" s="67">
        <v>1400000</v>
      </c>
      <c r="H49" s="67"/>
      <c r="I49" s="68">
        <f t="shared" si="8"/>
        <v>1400000</v>
      </c>
      <c r="J49" s="50"/>
    </row>
    <row r="50" spans="1:10" ht="37.5" customHeight="1" x14ac:dyDescent="0.25">
      <c r="A50" s="43">
        <v>5</v>
      </c>
      <c r="B50" s="116" t="s">
        <v>169</v>
      </c>
      <c r="C50" s="80" t="s">
        <v>172</v>
      </c>
      <c r="D50" s="81">
        <v>45176</v>
      </c>
      <c r="E50" s="47"/>
      <c r="F50" s="67"/>
      <c r="G50" s="67">
        <v>3050000</v>
      </c>
      <c r="H50" s="67"/>
      <c r="I50" s="68">
        <f t="shared" si="8"/>
        <v>3050000</v>
      </c>
      <c r="J50" s="50"/>
    </row>
    <row r="51" spans="1:10" ht="49.5" x14ac:dyDescent="0.25">
      <c r="A51" s="43">
        <v>6</v>
      </c>
      <c r="B51" s="92" t="s">
        <v>193</v>
      </c>
      <c r="C51" s="80" t="s">
        <v>186</v>
      </c>
      <c r="D51" s="81">
        <v>45243</v>
      </c>
      <c r="E51" s="47"/>
      <c r="F51" s="67"/>
      <c r="G51" s="67">
        <v>7640517</v>
      </c>
      <c r="H51" s="67"/>
      <c r="I51" s="68">
        <f t="shared" si="8"/>
        <v>7640517</v>
      </c>
      <c r="J51" s="50"/>
    </row>
    <row r="52" spans="1:10" ht="207" customHeight="1" x14ac:dyDescent="0.25">
      <c r="A52" s="43">
        <v>7</v>
      </c>
      <c r="B52" s="92" t="s">
        <v>174</v>
      </c>
      <c r="C52" s="80" t="s">
        <v>184</v>
      </c>
      <c r="D52" s="81">
        <v>45243</v>
      </c>
      <c r="E52" s="47"/>
      <c r="F52" s="67"/>
      <c r="G52" s="67">
        <v>400000</v>
      </c>
      <c r="H52" s="67"/>
      <c r="I52" s="68">
        <f t="shared" si="8"/>
        <v>400000</v>
      </c>
      <c r="J52" s="50"/>
    </row>
    <row r="53" spans="1:10" ht="33" x14ac:dyDescent="0.25">
      <c r="A53" s="43">
        <v>8</v>
      </c>
      <c r="B53" s="92" t="s">
        <v>175</v>
      </c>
      <c r="C53" s="80" t="s">
        <v>184</v>
      </c>
      <c r="D53" s="81">
        <v>45243</v>
      </c>
      <c r="E53" s="47"/>
      <c r="F53" s="67"/>
      <c r="G53" s="67">
        <v>478000</v>
      </c>
      <c r="H53" s="67"/>
      <c r="I53" s="68">
        <f t="shared" si="8"/>
        <v>478000</v>
      </c>
      <c r="J53" s="50"/>
    </row>
    <row r="54" spans="1:10" ht="66" x14ac:dyDescent="0.25">
      <c r="A54" s="43">
        <v>9</v>
      </c>
      <c r="B54" s="93" t="s">
        <v>176</v>
      </c>
      <c r="C54" s="80" t="s">
        <v>184</v>
      </c>
      <c r="D54" s="81">
        <v>45243</v>
      </c>
      <c r="E54" s="47"/>
      <c r="F54" s="67"/>
      <c r="G54" s="67">
        <v>120000</v>
      </c>
      <c r="H54" s="67"/>
      <c r="I54" s="68">
        <f t="shared" si="8"/>
        <v>120000</v>
      </c>
      <c r="J54" s="50"/>
    </row>
    <row r="55" spans="1:10" ht="66" x14ac:dyDescent="0.25">
      <c r="A55" s="43">
        <v>10</v>
      </c>
      <c r="B55" s="93" t="s">
        <v>177</v>
      </c>
      <c r="C55" s="80" t="s">
        <v>184</v>
      </c>
      <c r="D55" s="81">
        <v>45245</v>
      </c>
      <c r="E55" s="47"/>
      <c r="F55" s="67"/>
      <c r="G55" s="67">
        <v>51000</v>
      </c>
      <c r="H55" s="67"/>
      <c r="I55" s="68">
        <f t="shared" si="8"/>
        <v>51000</v>
      </c>
      <c r="J55" s="50"/>
    </row>
    <row r="56" spans="1:10" ht="49.5" x14ac:dyDescent="0.25">
      <c r="A56" s="43">
        <v>11</v>
      </c>
      <c r="B56" s="94" t="s">
        <v>178</v>
      </c>
      <c r="C56" s="80" t="s">
        <v>184</v>
      </c>
      <c r="D56" s="81">
        <v>45243</v>
      </c>
      <c r="E56" s="47"/>
      <c r="F56" s="67"/>
      <c r="G56" s="67">
        <v>169000</v>
      </c>
      <c r="H56" s="67"/>
      <c r="I56" s="68">
        <f t="shared" si="8"/>
        <v>169000</v>
      </c>
      <c r="J56" s="50"/>
    </row>
    <row r="57" spans="1:10" ht="49.5" x14ac:dyDescent="0.25">
      <c r="A57" s="43">
        <v>12</v>
      </c>
      <c r="B57" s="95" t="s">
        <v>179</v>
      </c>
      <c r="C57" s="80" t="s">
        <v>184</v>
      </c>
      <c r="D57" s="81">
        <v>45243</v>
      </c>
      <c r="E57" s="47"/>
      <c r="F57" s="67"/>
      <c r="G57" s="67">
        <v>82000</v>
      </c>
      <c r="H57" s="67"/>
      <c r="I57" s="68">
        <f t="shared" si="8"/>
        <v>82000</v>
      </c>
      <c r="J57" s="50"/>
    </row>
    <row r="58" spans="1:10" ht="55.5" customHeight="1" x14ac:dyDescent="0.25">
      <c r="A58" s="43">
        <v>13</v>
      </c>
      <c r="B58" s="92" t="s">
        <v>180</v>
      </c>
      <c r="C58" s="80" t="s">
        <v>184</v>
      </c>
      <c r="D58" s="81">
        <v>45243</v>
      </c>
      <c r="E58" s="47"/>
      <c r="F58" s="67"/>
      <c r="G58" s="67">
        <v>312000</v>
      </c>
      <c r="H58" s="67"/>
      <c r="I58" s="68">
        <f t="shared" si="8"/>
        <v>312000</v>
      </c>
      <c r="J58" s="50"/>
    </row>
    <row r="59" spans="1:10" ht="87.75" customHeight="1" x14ac:dyDescent="0.25">
      <c r="A59" s="43">
        <v>14</v>
      </c>
      <c r="B59" s="92" t="s">
        <v>182</v>
      </c>
      <c r="C59" s="80" t="s">
        <v>185</v>
      </c>
      <c r="D59" s="81">
        <v>45244</v>
      </c>
      <c r="E59" s="47"/>
      <c r="F59" s="67"/>
      <c r="G59" s="67">
        <v>74812000</v>
      </c>
      <c r="H59" s="67"/>
      <c r="I59" s="68">
        <f t="shared" si="8"/>
        <v>74812000</v>
      </c>
      <c r="J59" s="50"/>
    </row>
    <row r="60" spans="1:10" ht="47.25" x14ac:dyDescent="0.25">
      <c r="A60" s="43">
        <v>15</v>
      </c>
      <c r="B60" s="116" t="s">
        <v>183</v>
      </c>
      <c r="C60" s="80" t="s">
        <v>189</v>
      </c>
      <c r="D60" s="81">
        <v>45244</v>
      </c>
      <c r="E60" s="47"/>
      <c r="F60" s="67"/>
      <c r="G60" s="67">
        <v>54120</v>
      </c>
      <c r="H60" s="67"/>
      <c r="I60" s="68">
        <f t="shared" si="8"/>
        <v>54120</v>
      </c>
      <c r="J60" s="50"/>
    </row>
    <row r="61" spans="1:10" ht="67.5" customHeight="1" x14ac:dyDescent="0.25">
      <c r="A61" s="43">
        <v>16</v>
      </c>
      <c r="B61" s="116" t="s">
        <v>194</v>
      </c>
      <c r="C61" s="80" t="s">
        <v>188</v>
      </c>
      <c r="D61" s="81">
        <v>45244</v>
      </c>
      <c r="E61" s="47"/>
      <c r="F61" s="67"/>
      <c r="G61" s="67">
        <v>1400000</v>
      </c>
      <c r="H61" s="67"/>
      <c r="I61" s="68">
        <f t="shared" si="8"/>
        <v>1400000</v>
      </c>
      <c r="J61" s="50"/>
    </row>
    <row r="62" spans="1:10" x14ac:dyDescent="0.25">
      <c r="A62" s="57"/>
      <c r="B62" s="58" t="s">
        <v>155</v>
      </c>
      <c r="C62" s="63"/>
      <c r="D62" s="64"/>
      <c r="E62" s="70">
        <f t="shared" ref="E62" si="9">SUM(E46:E61)</f>
        <v>0</v>
      </c>
      <c r="F62" s="70">
        <f t="shared" ref="F62" si="10">SUM(F46:F61)</f>
        <v>0</v>
      </c>
      <c r="G62" s="70">
        <f t="shared" ref="G62" si="11">SUM(G46:G61)</f>
        <v>140190637</v>
      </c>
      <c r="H62" s="70">
        <f t="shared" ref="H62" si="12">SUM(H46:H61)</f>
        <v>0</v>
      </c>
      <c r="I62" s="70">
        <f t="shared" ref="I62" si="13">SUM(I46:I61)</f>
        <v>140190637</v>
      </c>
      <c r="J62" s="49"/>
    </row>
    <row r="63" spans="1:10" x14ac:dyDescent="0.25">
      <c r="A63" s="71"/>
      <c r="B63" s="72"/>
      <c r="C63" s="73"/>
      <c r="D63" s="74"/>
      <c r="E63" s="75">
        <f>E62+E44</f>
        <v>0</v>
      </c>
      <c r="F63" s="75">
        <f>F62+F44</f>
        <v>249388000</v>
      </c>
      <c r="G63" s="75">
        <f>G62+G44</f>
        <v>140190637</v>
      </c>
      <c r="H63" s="75">
        <f>H62+H44</f>
        <v>0</v>
      </c>
      <c r="I63" s="75">
        <f>G63+F63-H63</f>
        <v>389578637</v>
      </c>
      <c r="J63" s="76"/>
    </row>
  </sheetData>
  <mergeCells count="15">
    <mergeCell ref="A1:D1"/>
    <mergeCell ref="F1:J1"/>
    <mergeCell ref="A2:J2"/>
    <mergeCell ref="H6:H7"/>
    <mergeCell ref="I6:I7"/>
    <mergeCell ref="A3:J3"/>
    <mergeCell ref="A5:A7"/>
    <mergeCell ref="B5:B7"/>
    <mergeCell ref="C5:I5"/>
    <mergeCell ref="J5:J7"/>
    <mergeCell ref="C6:C7"/>
    <mergeCell ref="D6:D7"/>
    <mergeCell ref="E6:E7"/>
    <mergeCell ref="F6:F7"/>
    <mergeCell ref="G6:G7"/>
  </mergeCells>
  <pageMargins left="0.39370078740157483" right="0.15748031496062992" top="0.43307086614173229" bottom="0.31496062992125984"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opLeftCell="C1" zoomScale="70" zoomScaleNormal="70" workbookViewId="0">
      <selection activeCell="I6" sqref="I6"/>
    </sheetView>
  </sheetViews>
  <sheetFormatPr defaultRowHeight="42.75" customHeight="1" x14ac:dyDescent="0.25"/>
  <cols>
    <col min="1" max="1" width="7" style="5" customWidth="1"/>
    <col min="2" max="2" width="31" style="1" customWidth="1"/>
    <col min="3" max="3" width="14.625" style="2" customWidth="1"/>
    <col min="4" max="4" width="12.25" style="1" customWidth="1"/>
    <col min="5" max="6" width="11.75" style="1" customWidth="1"/>
    <col min="7" max="7" width="12.25" style="1" customWidth="1"/>
    <col min="8" max="9" width="11.75" style="1" customWidth="1"/>
    <col min="10" max="10" width="13" style="1" customWidth="1"/>
    <col min="11" max="18" width="12.25" style="1" customWidth="1"/>
    <col min="19" max="19" width="9.875" style="1" customWidth="1"/>
    <col min="20" max="20" width="10.875" style="1" customWidth="1"/>
    <col min="21" max="21" width="11.75" style="1" customWidth="1"/>
    <col min="22" max="16384" width="9" style="1"/>
  </cols>
  <sheetData>
    <row r="1" spans="1:21" ht="37.5" customHeight="1" x14ac:dyDescent="0.25">
      <c r="A1" s="109"/>
      <c r="B1" s="109"/>
      <c r="C1" s="109"/>
      <c r="D1" s="109"/>
      <c r="E1" s="109"/>
      <c r="R1" s="110"/>
      <c r="S1" s="110"/>
      <c r="T1" s="110"/>
      <c r="U1" s="110"/>
    </row>
    <row r="2" spans="1:21" ht="37.5" customHeight="1" x14ac:dyDescent="0.25">
      <c r="A2" s="111" t="s">
        <v>196</v>
      </c>
      <c r="B2" s="111"/>
      <c r="C2" s="111"/>
      <c r="D2" s="111"/>
      <c r="E2" s="111"/>
      <c r="F2" s="111"/>
      <c r="G2" s="111"/>
      <c r="H2" s="111"/>
      <c r="I2" s="111"/>
      <c r="J2" s="111"/>
      <c r="K2" s="111"/>
      <c r="L2" s="111"/>
      <c r="M2" s="111"/>
      <c r="N2" s="111"/>
      <c r="O2" s="111"/>
      <c r="P2" s="111"/>
      <c r="Q2" s="111"/>
      <c r="R2" s="111"/>
      <c r="S2" s="111"/>
      <c r="T2" s="111"/>
      <c r="U2" s="111"/>
    </row>
    <row r="3" spans="1:21" ht="37.5" customHeight="1" x14ac:dyDescent="0.25">
      <c r="A3" s="112" t="s">
        <v>192</v>
      </c>
      <c r="B3" s="112"/>
      <c r="C3" s="112"/>
      <c r="D3" s="112"/>
      <c r="E3" s="112"/>
      <c r="F3" s="112"/>
      <c r="G3" s="112"/>
      <c r="H3" s="112"/>
      <c r="I3" s="112"/>
      <c r="J3" s="112"/>
      <c r="K3" s="112"/>
      <c r="L3" s="112"/>
      <c r="M3" s="112"/>
      <c r="N3" s="112"/>
      <c r="O3" s="112"/>
      <c r="P3" s="112"/>
      <c r="Q3" s="112"/>
      <c r="R3" s="112"/>
      <c r="S3" s="112"/>
      <c r="T3" s="112"/>
      <c r="U3" s="112"/>
    </row>
    <row r="4" spans="1:21" ht="37.5" customHeight="1" x14ac:dyDescent="0.25">
      <c r="B4" s="5"/>
      <c r="S4" s="8"/>
      <c r="T4" s="113" t="s">
        <v>0</v>
      </c>
      <c r="U4" s="113"/>
    </row>
    <row r="5" spans="1:21" s="3" customFormat="1" ht="42.75" customHeight="1" x14ac:dyDescent="0.25">
      <c r="A5" s="114" t="s">
        <v>1</v>
      </c>
      <c r="B5" s="114" t="s">
        <v>2</v>
      </c>
      <c r="C5" s="114" t="s">
        <v>3</v>
      </c>
      <c r="D5" s="105" t="s">
        <v>4</v>
      </c>
      <c r="E5" s="105"/>
      <c r="F5" s="105"/>
      <c r="G5" s="105"/>
      <c r="H5" s="105"/>
      <c r="I5" s="105"/>
      <c r="J5" s="105"/>
      <c r="K5" s="105"/>
      <c r="L5" s="105"/>
      <c r="M5" s="105"/>
      <c r="N5" s="105"/>
      <c r="O5" s="105"/>
      <c r="P5" s="105"/>
      <c r="Q5" s="105"/>
      <c r="R5" s="105"/>
      <c r="S5" s="105"/>
      <c r="T5" s="105"/>
      <c r="U5" s="105"/>
    </row>
    <row r="6" spans="1:21" s="3" customFormat="1" ht="166.5" customHeight="1" x14ac:dyDescent="0.25">
      <c r="A6" s="115"/>
      <c r="B6" s="115"/>
      <c r="C6" s="115"/>
      <c r="D6" s="9" t="s">
        <v>5</v>
      </c>
      <c r="E6" s="9" t="s">
        <v>6</v>
      </c>
      <c r="F6" s="9" t="s">
        <v>7</v>
      </c>
      <c r="G6" s="96" t="s">
        <v>8</v>
      </c>
      <c r="H6" s="96" t="s">
        <v>9</v>
      </c>
      <c r="I6" s="96" t="s">
        <v>10</v>
      </c>
      <c r="J6" s="96" t="s">
        <v>11</v>
      </c>
      <c r="K6" s="97" t="s">
        <v>12</v>
      </c>
      <c r="L6" s="97" t="s">
        <v>13</v>
      </c>
      <c r="M6" s="97" t="s">
        <v>14</v>
      </c>
      <c r="N6" s="97" t="s">
        <v>15</v>
      </c>
      <c r="O6" s="97" t="s">
        <v>16</v>
      </c>
      <c r="P6" s="97" t="s">
        <v>17</v>
      </c>
      <c r="Q6" s="97" t="s">
        <v>18</v>
      </c>
      <c r="R6" s="97" t="s">
        <v>19</v>
      </c>
      <c r="S6" s="97" t="s">
        <v>20</v>
      </c>
      <c r="T6" s="10" t="s">
        <v>21</v>
      </c>
      <c r="U6" s="10" t="s">
        <v>22</v>
      </c>
    </row>
    <row r="7" spans="1:21" s="4" customFormat="1" ht="34.5" customHeight="1" x14ac:dyDescent="0.25">
      <c r="A7" s="11" t="s">
        <v>23</v>
      </c>
      <c r="B7" s="11" t="s">
        <v>24</v>
      </c>
      <c r="C7" s="12">
        <v>1</v>
      </c>
      <c r="D7" s="13">
        <v>2</v>
      </c>
      <c r="E7" s="12">
        <v>3</v>
      </c>
      <c r="F7" s="13">
        <v>4</v>
      </c>
      <c r="G7" s="12">
        <v>5</v>
      </c>
      <c r="H7" s="13">
        <v>6</v>
      </c>
      <c r="I7" s="12">
        <v>7</v>
      </c>
      <c r="J7" s="13">
        <v>8</v>
      </c>
      <c r="K7" s="12">
        <v>9</v>
      </c>
      <c r="L7" s="13">
        <v>10</v>
      </c>
      <c r="M7" s="12">
        <v>11</v>
      </c>
      <c r="N7" s="13">
        <v>12</v>
      </c>
      <c r="O7" s="12">
        <v>13</v>
      </c>
      <c r="P7" s="13">
        <v>14</v>
      </c>
      <c r="Q7" s="12">
        <v>15</v>
      </c>
      <c r="R7" s="13">
        <v>16</v>
      </c>
      <c r="S7" s="12">
        <v>17</v>
      </c>
      <c r="T7" s="13">
        <v>18</v>
      </c>
      <c r="U7" s="12">
        <v>19</v>
      </c>
    </row>
    <row r="8" spans="1:21" s="3" customFormat="1" ht="42.75" customHeight="1" x14ac:dyDescent="0.25">
      <c r="A8" s="14" t="s">
        <v>25</v>
      </c>
      <c r="B8" s="15" t="s">
        <v>26</v>
      </c>
      <c r="C8" s="16">
        <f t="shared" ref="C8:U8" si="0">C9+C23</f>
        <v>264053000</v>
      </c>
      <c r="D8" s="16">
        <f t="shared" si="0"/>
        <v>140000</v>
      </c>
      <c r="E8" s="16">
        <f t="shared" si="0"/>
        <v>22000</v>
      </c>
      <c r="F8" s="16">
        <f t="shared" si="0"/>
        <v>0</v>
      </c>
      <c r="G8" s="16">
        <f t="shared" si="0"/>
        <v>95341000</v>
      </c>
      <c r="H8" s="16">
        <f t="shared" si="0"/>
        <v>210000</v>
      </c>
      <c r="I8" s="16">
        <f t="shared" si="0"/>
        <v>427000</v>
      </c>
      <c r="J8" s="16">
        <f t="shared" si="0"/>
        <v>700000</v>
      </c>
      <c r="K8" s="16">
        <f t="shared" si="0"/>
        <v>0</v>
      </c>
      <c r="L8" s="16">
        <f t="shared" si="0"/>
        <v>18865000</v>
      </c>
      <c r="M8" s="16">
        <f t="shared" si="0"/>
        <v>29467000</v>
      </c>
      <c r="N8" s="16">
        <f t="shared" si="0"/>
        <v>57210000</v>
      </c>
      <c r="O8" s="16">
        <f t="shared" si="0"/>
        <v>20255000</v>
      </c>
      <c r="P8" s="16">
        <f t="shared" si="0"/>
        <v>22833000</v>
      </c>
      <c r="Q8" s="16">
        <f t="shared" si="0"/>
        <v>9900000</v>
      </c>
      <c r="R8" s="16">
        <f t="shared" si="0"/>
        <v>8683000</v>
      </c>
      <c r="S8" s="16">
        <f t="shared" si="0"/>
        <v>0</v>
      </c>
      <c r="T8" s="16">
        <f t="shared" si="0"/>
        <v>0</v>
      </c>
      <c r="U8" s="16">
        <f t="shared" si="0"/>
        <v>0</v>
      </c>
    </row>
    <row r="9" spans="1:21" s="3" customFormat="1" ht="42.75" customHeight="1" x14ac:dyDescent="0.25">
      <c r="A9" s="17">
        <v>1</v>
      </c>
      <c r="B9" s="18" t="s">
        <v>27</v>
      </c>
      <c r="C9" s="19">
        <f>C10</f>
        <v>372000</v>
      </c>
      <c r="D9" s="19">
        <f t="shared" ref="D9:U9" si="1">D10</f>
        <v>140000</v>
      </c>
      <c r="E9" s="19">
        <f t="shared" si="1"/>
        <v>22000</v>
      </c>
      <c r="F9" s="19">
        <f t="shared" si="1"/>
        <v>0</v>
      </c>
      <c r="G9" s="19">
        <f t="shared" si="1"/>
        <v>0</v>
      </c>
      <c r="H9" s="19">
        <f t="shared" si="1"/>
        <v>210000</v>
      </c>
      <c r="I9" s="19">
        <f t="shared" si="1"/>
        <v>0</v>
      </c>
      <c r="J9" s="19">
        <f t="shared" si="1"/>
        <v>0</v>
      </c>
      <c r="K9" s="19">
        <f t="shared" si="1"/>
        <v>0</v>
      </c>
      <c r="L9" s="19">
        <f t="shared" si="1"/>
        <v>0</v>
      </c>
      <c r="M9" s="19">
        <f t="shared" si="1"/>
        <v>0</v>
      </c>
      <c r="N9" s="19">
        <f t="shared" si="1"/>
        <v>0</v>
      </c>
      <c r="O9" s="19">
        <f t="shared" si="1"/>
        <v>0</v>
      </c>
      <c r="P9" s="19">
        <f t="shared" si="1"/>
        <v>0</v>
      </c>
      <c r="Q9" s="19">
        <f t="shared" si="1"/>
        <v>0</v>
      </c>
      <c r="R9" s="19">
        <f t="shared" si="1"/>
        <v>0</v>
      </c>
      <c r="S9" s="19">
        <f t="shared" si="1"/>
        <v>0</v>
      </c>
      <c r="T9" s="19">
        <f t="shared" si="1"/>
        <v>0</v>
      </c>
      <c r="U9" s="19">
        <f t="shared" si="1"/>
        <v>0</v>
      </c>
    </row>
    <row r="10" spans="1:21" s="4" customFormat="1" ht="42.75" customHeight="1" x14ac:dyDescent="0.25">
      <c r="A10" s="20" t="s">
        <v>28</v>
      </c>
      <c r="B10" s="21" t="s">
        <v>29</v>
      </c>
      <c r="C10" s="22">
        <f>SUM(C11:C13)</f>
        <v>372000</v>
      </c>
      <c r="D10" s="22">
        <f t="shared" ref="D10:U10" si="2">SUM(D11:D13)</f>
        <v>140000</v>
      </c>
      <c r="E10" s="22">
        <f t="shared" si="2"/>
        <v>22000</v>
      </c>
      <c r="F10" s="22">
        <f t="shared" si="2"/>
        <v>0</v>
      </c>
      <c r="G10" s="22">
        <f t="shared" si="2"/>
        <v>0</v>
      </c>
      <c r="H10" s="22">
        <f t="shared" si="2"/>
        <v>210000</v>
      </c>
      <c r="I10" s="22">
        <f t="shared" si="2"/>
        <v>0</v>
      </c>
      <c r="J10" s="22">
        <f t="shared" si="2"/>
        <v>0</v>
      </c>
      <c r="K10" s="22">
        <f t="shared" si="2"/>
        <v>0</v>
      </c>
      <c r="L10" s="22">
        <f t="shared" si="2"/>
        <v>0</v>
      </c>
      <c r="M10" s="22">
        <f t="shared" si="2"/>
        <v>0</v>
      </c>
      <c r="N10" s="22">
        <f t="shared" si="2"/>
        <v>0</v>
      </c>
      <c r="O10" s="22">
        <f t="shared" si="2"/>
        <v>0</v>
      </c>
      <c r="P10" s="22">
        <f t="shared" si="2"/>
        <v>0</v>
      </c>
      <c r="Q10" s="22">
        <f t="shared" si="2"/>
        <v>0</v>
      </c>
      <c r="R10" s="22">
        <f t="shared" si="2"/>
        <v>0</v>
      </c>
      <c r="S10" s="22">
        <f t="shared" si="2"/>
        <v>0</v>
      </c>
      <c r="T10" s="22">
        <f t="shared" si="2"/>
        <v>0</v>
      </c>
      <c r="U10" s="22">
        <f t="shared" si="2"/>
        <v>0</v>
      </c>
    </row>
    <row r="11" spans="1:21" s="6" customFormat="1" ht="50.25" customHeight="1" x14ac:dyDescent="0.25">
      <c r="A11" s="23" t="s">
        <v>30</v>
      </c>
      <c r="B11" s="24" t="s">
        <v>31</v>
      </c>
      <c r="C11" s="25">
        <f>SUM(D11:U11)</f>
        <v>140000</v>
      </c>
      <c r="D11" s="25">
        <v>140000</v>
      </c>
      <c r="E11" s="25"/>
      <c r="F11" s="25"/>
      <c r="G11" s="25"/>
      <c r="H11" s="25"/>
      <c r="I11" s="25"/>
      <c r="J11" s="25"/>
      <c r="K11" s="25"/>
      <c r="L11" s="25"/>
      <c r="M11" s="25"/>
      <c r="N11" s="25"/>
      <c r="O11" s="25"/>
      <c r="P11" s="25"/>
      <c r="Q11" s="25"/>
      <c r="R11" s="25"/>
      <c r="S11" s="25"/>
      <c r="T11" s="25"/>
      <c r="U11" s="25"/>
    </row>
    <row r="12" spans="1:21" s="6" customFormat="1" ht="67.5" customHeight="1" x14ac:dyDescent="0.25">
      <c r="A12" s="23" t="s">
        <v>30</v>
      </c>
      <c r="B12" s="24" t="s">
        <v>32</v>
      </c>
      <c r="C12" s="25">
        <f>SUM(D12:U12)</f>
        <v>22000</v>
      </c>
      <c r="D12" s="25"/>
      <c r="E12" s="25">
        <v>22000</v>
      </c>
      <c r="F12" s="25"/>
      <c r="G12" s="25"/>
      <c r="H12" s="25"/>
      <c r="I12" s="25"/>
      <c r="J12" s="25"/>
      <c r="K12" s="25"/>
      <c r="L12" s="25"/>
      <c r="M12" s="25"/>
      <c r="N12" s="25"/>
      <c r="O12" s="25"/>
      <c r="P12" s="25"/>
      <c r="Q12" s="25"/>
      <c r="R12" s="25"/>
      <c r="S12" s="25"/>
      <c r="T12" s="25"/>
      <c r="U12" s="25"/>
    </row>
    <row r="13" spans="1:21" s="6" customFormat="1" ht="50.25" customHeight="1" x14ac:dyDescent="0.25">
      <c r="A13" s="23" t="s">
        <v>30</v>
      </c>
      <c r="B13" s="24" t="s">
        <v>33</v>
      </c>
      <c r="C13" s="25">
        <f>SUM(D13:U13)</f>
        <v>210000</v>
      </c>
      <c r="D13" s="25"/>
      <c r="E13" s="25"/>
      <c r="F13" s="25"/>
      <c r="G13" s="25"/>
      <c r="H13" s="25">
        <v>210000</v>
      </c>
      <c r="I13" s="25"/>
      <c r="J13" s="25"/>
      <c r="K13" s="25"/>
      <c r="L13" s="25"/>
      <c r="M13" s="25"/>
      <c r="N13" s="25"/>
      <c r="O13" s="25"/>
      <c r="P13" s="25"/>
      <c r="Q13" s="25"/>
      <c r="R13" s="25"/>
      <c r="S13" s="25"/>
      <c r="T13" s="25"/>
      <c r="U13" s="25"/>
    </row>
    <row r="14" spans="1:21" s="3" customFormat="1" ht="42.75" customHeight="1" x14ac:dyDescent="0.25">
      <c r="A14" s="17">
        <v>2</v>
      </c>
      <c r="B14" s="18" t="s">
        <v>34</v>
      </c>
      <c r="C14" s="19">
        <f t="shared" ref="C14:U14" si="3">C16+C20</f>
        <v>157300</v>
      </c>
      <c r="D14" s="19">
        <f t="shared" si="3"/>
        <v>135800</v>
      </c>
      <c r="E14" s="19">
        <f t="shared" si="3"/>
        <v>21500</v>
      </c>
      <c r="F14" s="19">
        <f t="shared" si="3"/>
        <v>0</v>
      </c>
      <c r="G14" s="19">
        <f t="shared" si="3"/>
        <v>0</v>
      </c>
      <c r="H14" s="19">
        <f t="shared" si="3"/>
        <v>0</v>
      </c>
      <c r="I14" s="19">
        <f t="shared" si="3"/>
        <v>0</v>
      </c>
      <c r="J14" s="19">
        <f t="shared" si="3"/>
        <v>0</v>
      </c>
      <c r="K14" s="19">
        <f t="shared" si="3"/>
        <v>0</v>
      </c>
      <c r="L14" s="19">
        <f t="shared" si="3"/>
        <v>0</v>
      </c>
      <c r="M14" s="19">
        <f t="shared" si="3"/>
        <v>0</v>
      </c>
      <c r="N14" s="19">
        <f t="shared" si="3"/>
        <v>0</v>
      </c>
      <c r="O14" s="19">
        <f t="shared" si="3"/>
        <v>0</v>
      </c>
      <c r="P14" s="19">
        <f t="shared" si="3"/>
        <v>0</v>
      </c>
      <c r="Q14" s="19">
        <f t="shared" si="3"/>
        <v>0</v>
      </c>
      <c r="R14" s="19">
        <f t="shared" si="3"/>
        <v>0</v>
      </c>
      <c r="S14" s="19">
        <f t="shared" si="3"/>
        <v>0</v>
      </c>
      <c r="T14" s="19">
        <f t="shared" si="3"/>
        <v>0</v>
      </c>
      <c r="U14" s="19">
        <f t="shared" si="3"/>
        <v>0</v>
      </c>
    </row>
    <row r="15" spans="1:21" s="4" customFormat="1" ht="42.75" customHeight="1" x14ac:dyDescent="0.25">
      <c r="A15" s="20" t="s">
        <v>35</v>
      </c>
      <c r="B15" s="21" t="s">
        <v>36</v>
      </c>
      <c r="C15" s="22">
        <f>C16+C18</f>
        <v>157300</v>
      </c>
      <c r="D15" s="22">
        <f t="shared" ref="D15:U15" si="4">D16+D18</f>
        <v>135800</v>
      </c>
      <c r="E15" s="22">
        <f t="shared" si="4"/>
        <v>21500</v>
      </c>
      <c r="F15" s="22">
        <f t="shared" si="4"/>
        <v>0</v>
      </c>
      <c r="G15" s="22">
        <f t="shared" si="4"/>
        <v>0</v>
      </c>
      <c r="H15" s="22">
        <f t="shared" si="4"/>
        <v>0</v>
      </c>
      <c r="I15" s="22">
        <f t="shared" si="4"/>
        <v>0</v>
      </c>
      <c r="J15" s="22">
        <f t="shared" si="4"/>
        <v>0</v>
      </c>
      <c r="K15" s="22">
        <f t="shared" si="4"/>
        <v>0</v>
      </c>
      <c r="L15" s="22">
        <f t="shared" si="4"/>
        <v>0</v>
      </c>
      <c r="M15" s="22">
        <f t="shared" si="4"/>
        <v>0</v>
      </c>
      <c r="N15" s="22">
        <f t="shared" si="4"/>
        <v>0</v>
      </c>
      <c r="O15" s="22">
        <f t="shared" si="4"/>
        <v>0</v>
      </c>
      <c r="P15" s="22">
        <f t="shared" si="4"/>
        <v>0</v>
      </c>
      <c r="Q15" s="22">
        <f t="shared" si="4"/>
        <v>0</v>
      </c>
      <c r="R15" s="22">
        <f t="shared" si="4"/>
        <v>0</v>
      </c>
      <c r="S15" s="22">
        <f t="shared" si="4"/>
        <v>0</v>
      </c>
      <c r="T15" s="22">
        <f t="shared" si="4"/>
        <v>0</v>
      </c>
      <c r="U15" s="22">
        <f t="shared" si="4"/>
        <v>0</v>
      </c>
    </row>
    <row r="16" spans="1:21" s="3" customFormat="1" ht="42.75" customHeight="1" x14ac:dyDescent="0.25">
      <c r="A16" s="20" t="s">
        <v>37</v>
      </c>
      <c r="B16" s="21" t="s">
        <v>38</v>
      </c>
      <c r="C16" s="19">
        <f>SUM(D16:U16)</f>
        <v>157300</v>
      </c>
      <c r="D16" s="19">
        <f>140000*0.97</f>
        <v>135800</v>
      </c>
      <c r="E16" s="19">
        <f>22000*0.97+160</f>
        <v>21500</v>
      </c>
      <c r="F16" s="19"/>
      <c r="G16" s="19"/>
      <c r="H16" s="19"/>
      <c r="I16" s="19"/>
      <c r="J16" s="19"/>
      <c r="K16" s="19"/>
      <c r="L16" s="19"/>
      <c r="M16" s="19"/>
      <c r="N16" s="19"/>
      <c r="O16" s="19"/>
      <c r="P16" s="19"/>
      <c r="Q16" s="19"/>
      <c r="R16" s="19"/>
      <c r="S16" s="19"/>
      <c r="T16" s="19"/>
      <c r="U16" s="19"/>
    </row>
    <row r="17" spans="1:21" s="6" customFormat="1" ht="42.75" customHeight="1" x14ac:dyDescent="0.25">
      <c r="A17" s="23"/>
      <c r="B17" s="24" t="s">
        <v>39</v>
      </c>
      <c r="C17" s="25">
        <f>SUM(D17:U17)</f>
        <v>56000</v>
      </c>
      <c r="D17" s="25">
        <v>49000</v>
      </c>
      <c r="E17" s="25">
        <v>7000</v>
      </c>
      <c r="F17" s="25"/>
      <c r="G17" s="25"/>
      <c r="H17" s="25"/>
      <c r="I17" s="25"/>
      <c r="J17" s="25"/>
      <c r="K17" s="25"/>
      <c r="L17" s="25"/>
      <c r="M17" s="25"/>
      <c r="N17" s="25"/>
      <c r="O17" s="25"/>
      <c r="P17" s="25"/>
      <c r="Q17" s="25"/>
      <c r="R17" s="25"/>
      <c r="S17" s="25"/>
      <c r="T17" s="25"/>
      <c r="U17" s="25"/>
    </row>
    <row r="18" spans="1:21" s="3" customFormat="1" ht="42.75" customHeight="1" x14ac:dyDescent="0.25">
      <c r="A18" s="20" t="s">
        <v>40</v>
      </c>
      <c r="B18" s="21" t="s">
        <v>41</v>
      </c>
      <c r="C18" s="19"/>
      <c r="D18" s="19"/>
      <c r="E18" s="19"/>
      <c r="F18" s="19"/>
      <c r="G18" s="19"/>
      <c r="H18" s="19"/>
      <c r="I18" s="19"/>
      <c r="J18" s="19"/>
      <c r="K18" s="19"/>
      <c r="L18" s="19"/>
      <c r="M18" s="19"/>
      <c r="N18" s="19"/>
      <c r="O18" s="19"/>
      <c r="P18" s="19"/>
      <c r="Q18" s="19"/>
      <c r="R18" s="19"/>
      <c r="S18" s="19"/>
      <c r="T18" s="19"/>
      <c r="U18" s="19"/>
    </row>
    <row r="19" spans="1:21" s="4" customFormat="1" ht="42.75" customHeight="1" x14ac:dyDescent="0.25">
      <c r="A19" s="20" t="s">
        <v>42</v>
      </c>
      <c r="B19" s="21" t="s">
        <v>43</v>
      </c>
      <c r="C19" s="22">
        <f>C21+C20</f>
        <v>203700</v>
      </c>
      <c r="D19" s="22">
        <f t="shared" ref="D19:U19" si="5">D21+D20</f>
        <v>0</v>
      </c>
      <c r="E19" s="22">
        <f t="shared" si="5"/>
        <v>0</v>
      </c>
      <c r="F19" s="22">
        <f t="shared" si="5"/>
        <v>0</v>
      </c>
      <c r="G19" s="22">
        <f t="shared" si="5"/>
        <v>0</v>
      </c>
      <c r="H19" s="22">
        <f>H21+H20</f>
        <v>203700</v>
      </c>
      <c r="I19" s="22">
        <f t="shared" si="5"/>
        <v>0</v>
      </c>
      <c r="J19" s="22">
        <f t="shared" si="5"/>
        <v>0</v>
      </c>
      <c r="K19" s="22">
        <f t="shared" si="5"/>
        <v>0</v>
      </c>
      <c r="L19" s="22">
        <f t="shared" si="5"/>
        <v>0</v>
      </c>
      <c r="M19" s="22">
        <f t="shared" si="5"/>
        <v>0</v>
      </c>
      <c r="N19" s="22">
        <f t="shared" si="5"/>
        <v>0</v>
      </c>
      <c r="O19" s="22">
        <f t="shared" si="5"/>
        <v>0</v>
      </c>
      <c r="P19" s="22">
        <f t="shared" si="5"/>
        <v>0</v>
      </c>
      <c r="Q19" s="22">
        <f t="shared" si="5"/>
        <v>0</v>
      </c>
      <c r="R19" s="22">
        <f t="shared" si="5"/>
        <v>0</v>
      </c>
      <c r="S19" s="22">
        <f t="shared" si="5"/>
        <v>0</v>
      </c>
      <c r="T19" s="22">
        <f t="shared" si="5"/>
        <v>0</v>
      </c>
      <c r="U19" s="22">
        <f t="shared" si="5"/>
        <v>0</v>
      </c>
    </row>
    <row r="20" spans="1:21" s="4" customFormat="1" ht="42.75" customHeight="1" x14ac:dyDescent="0.25">
      <c r="A20" s="20" t="s">
        <v>37</v>
      </c>
      <c r="B20" s="21" t="s">
        <v>38</v>
      </c>
      <c r="C20" s="22">
        <f>SUM(D20:U20)</f>
        <v>0</v>
      </c>
      <c r="D20" s="22"/>
      <c r="E20" s="22"/>
      <c r="F20" s="22"/>
      <c r="G20" s="22"/>
      <c r="H20" s="22"/>
      <c r="I20" s="22"/>
      <c r="J20" s="22"/>
      <c r="K20" s="22"/>
      <c r="L20" s="22"/>
      <c r="M20" s="22"/>
      <c r="N20" s="22"/>
      <c r="O20" s="22"/>
      <c r="P20" s="22"/>
      <c r="Q20" s="22"/>
      <c r="R20" s="22"/>
      <c r="S20" s="22"/>
      <c r="T20" s="22"/>
      <c r="U20" s="22"/>
    </row>
    <row r="21" spans="1:21" s="3" customFormat="1" ht="42.75" customHeight="1" x14ac:dyDescent="0.25">
      <c r="A21" s="20" t="s">
        <v>40</v>
      </c>
      <c r="B21" s="21" t="s">
        <v>41</v>
      </c>
      <c r="C21" s="22">
        <f>SUM(D21:U21)</f>
        <v>203700</v>
      </c>
      <c r="D21" s="19"/>
      <c r="E21" s="19"/>
      <c r="F21" s="19"/>
      <c r="G21" s="19"/>
      <c r="H21" s="22">
        <f>210000*0.97</f>
        <v>203700</v>
      </c>
      <c r="I21" s="19"/>
      <c r="J21" s="19"/>
      <c r="K21" s="19"/>
      <c r="L21" s="19"/>
      <c r="M21" s="19"/>
      <c r="N21" s="19"/>
      <c r="O21" s="19"/>
      <c r="P21" s="19"/>
      <c r="Q21" s="19"/>
      <c r="R21" s="19"/>
      <c r="S21" s="19"/>
      <c r="T21" s="19"/>
      <c r="U21" s="19"/>
    </row>
    <row r="22" spans="1:21" s="6" customFormat="1" ht="42.75" customHeight="1" x14ac:dyDescent="0.25">
      <c r="A22" s="23"/>
      <c r="B22" s="24" t="s">
        <v>39</v>
      </c>
      <c r="C22" s="25">
        <f>SUM(D22:U22)</f>
        <v>73000</v>
      </c>
      <c r="D22" s="25"/>
      <c r="E22" s="25"/>
      <c r="F22" s="25"/>
      <c r="G22" s="25"/>
      <c r="H22" s="25">
        <v>73000</v>
      </c>
      <c r="I22" s="25"/>
      <c r="J22" s="25"/>
      <c r="K22" s="25"/>
      <c r="L22" s="25"/>
      <c r="M22" s="25"/>
      <c r="N22" s="25"/>
      <c r="O22" s="25"/>
      <c r="P22" s="25"/>
      <c r="Q22" s="25"/>
      <c r="R22" s="25"/>
      <c r="S22" s="25"/>
      <c r="T22" s="25"/>
      <c r="U22" s="25"/>
    </row>
    <row r="23" spans="1:21" s="3" customFormat="1" ht="42.75" customHeight="1" x14ac:dyDescent="0.25">
      <c r="A23" s="17" t="s">
        <v>44</v>
      </c>
      <c r="B23" s="18" t="s">
        <v>45</v>
      </c>
      <c r="C23" s="19">
        <f>C24+C25</f>
        <v>263681000</v>
      </c>
      <c r="D23" s="19">
        <f t="shared" ref="D23:U23" si="6">D24+D25</f>
        <v>0</v>
      </c>
      <c r="E23" s="19">
        <f t="shared" si="6"/>
        <v>0</v>
      </c>
      <c r="F23" s="19">
        <f t="shared" si="6"/>
        <v>0</v>
      </c>
      <c r="G23" s="19">
        <f t="shared" si="6"/>
        <v>95341000</v>
      </c>
      <c r="H23" s="19">
        <f t="shared" si="6"/>
        <v>0</v>
      </c>
      <c r="I23" s="19">
        <f t="shared" si="6"/>
        <v>427000</v>
      </c>
      <c r="J23" s="19">
        <f t="shared" si="6"/>
        <v>700000</v>
      </c>
      <c r="K23" s="19">
        <f t="shared" si="6"/>
        <v>0</v>
      </c>
      <c r="L23" s="19">
        <f t="shared" si="6"/>
        <v>18865000</v>
      </c>
      <c r="M23" s="19">
        <f t="shared" si="6"/>
        <v>29467000</v>
      </c>
      <c r="N23" s="19">
        <f t="shared" si="6"/>
        <v>57210000</v>
      </c>
      <c r="O23" s="19">
        <f t="shared" si="6"/>
        <v>20255000</v>
      </c>
      <c r="P23" s="19">
        <f t="shared" si="6"/>
        <v>22833000</v>
      </c>
      <c r="Q23" s="19">
        <f t="shared" si="6"/>
        <v>9900000</v>
      </c>
      <c r="R23" s="19">
        <f t="shared" si="6"/>
        <v>8683000</v>
      </c>
      <c r="S23" s="19">
        <f t="shared" si="6"/>
        <v>0</v>
      </c>
      <c r="T23" s="19">
        <f t="shared" si="6"/>
        <v>0</v>
      </c>
      <c r="U23" s="19">
        <f t="shared" si="6"/>
        <v>0</v>
      </c>
    </row>
    <row r="24" spans="1:21" s="4" customFormat="1" ht="42.75" customHeight="1" x14ac:dyDescent="0.25">
      <c r="A24" s="20">
        <v>1</v>
      </c>
      <c r="B24" s="21" t="s">
        <v>46</v>
      </c>
      <c r="C24" s="22"/>
      <c r="D24" s="22"/>
      <c r="E24" s="22"/>
      <c r="F24" s="22"/>
      <c r="G24" s="22"/>
      <c r="H24" s="22"/>
      <c r="I24" s="22"/>
      <c r="J24" s="22"/>
      <c r="K24" s="22"/>
      <c r="L24" s="22"/>
      <c r="M24" s="22"/>
      <c r="N24" s="22"/>
      <c r="O24" s="22"/>
      <c r="P24" s="22"/>
      <c r="Q24" s="22"/>
      <c r="R24" s="22"/>
      <c r="S24" s="22"/>
      <c r="T24" s="22"/>
      <c r="U24" s="22"/>
    </row>
    <row r="25" spans="1:21" s="4" customFormat="1" ht="42.75" customHeight="1" x14ac:dyDescent="0.25">
      <c r="A25" s="20">
        <v>2</v>
      </c>
      <c r="B25" s="21" t="s">
        <v>47</v>
      </c>
      <c r="C25" s="22">
        <f>C27</f>
        <v>263681000</v>
      </c>
      <c r="D25" s="22">
        <f t="shared" ref="D25:U25" si="7">D27</f>
        <v>0</v>
      </c>
      <c r="E25" s="22">
        <f t="shared" si="7"/>
        <v>0</v>
      </c>
      <c r="F25" s="22">
        <f t="shared" si="7"/>
        <v>0</v>
      </c>
      <c r="G25" s="22">
        <f t="shared" si="7"/>
        <v>95341000</v>
      </c>
      <c r="H25" s="22">
        <f t="shared" si="7"/>
        <v>0</v>
      </c>
      <c r="I25" s="22">
        <f t="shared" si="7"/>
        <v>427000</v>
      </c>
      <c r="J25" s="22">
        <f t="shared" si="7"/>
        <v>700000</v>
      </c>
      <c r="K25" s="22">
        <f t="shared" si="7"/>
        <v>0</v>
      </c>
      <c r="L25" s="22">
        <f t="shared" si="7"/>
        <v>18865000</v>
      </c>
      <c r="M25" s="22">
        <f t="shared" si="7"/>
        <v>29467000</v>
      </c>
      <c r="N25" s="22">
        <f t="shared" si="7"/>
        <v>57210000</v>
      </c>
      <c r="O25" s="22">
        <f t="shared" si="7"/>
        <v>20255000</v>
      </c>
      <c r="P25" s="22">
        <f t="shared" si="7"/>
        <v>22833000</v>
      </c>
      <c r="Q25" s="22">
        <f t="shared" si="7"/>
        <v>9900000</v>
      </c>
      <c r="R25" s="22">
        <f t="shared" si="7"/>
        <v>8683000</v>
      </c>
      <c r="S25" s="22">
        <f t="shared" si="7"/>
        <v>0</v>
      </c>
      <c r="T25" s="22">
        <f t="shared" si="7"/>
        <v>0</v>
      </c>
      <c r="U25" s="22">
        <f t="shared" si="7"/>
        <v>0</v>
      </c>
    </row>
    <row r="26" spans="1:21" s="6" customFormat="1" ht="42.75" customHeight="1" x14ac:dyDescent="0.25">
      <c r="A26" s="23" t="s">
        <v>30</v>
      </c>
      <c r="B26" s="24" t="s">
        <v>39</v>
      </c>
      <c r="C26" s="25">
        <f>SUM(D26:U26)</f>
        <v>3700000</v>
      </c>
      <c r="D26" s="25"/>
      <c r="E26" s="25"/>
      <c r="F26" s="25"/>
      <c r="G26" s="25">
        <v>1336000</v>
      </c>
      <c r="H26" s="25"/>
      <c r="I26" s="25">
        <v>6000</v>
      </c>
      <c r="J26" s="25">
        <v>10000</v>
      </c>
      <c r="K26" s="25"/>
      <c r="L26" s="25">
        <v>265000</v>
      </c>
      <c r="M26" s="25">
        <v>414000</v>
      </c>
      <c r="N26" s="25">
        <v>803000</v>
      </c>
      <c r="O26" s="25">
        <v>285000</v>
      </c>
      <c r="P26" s="25">
        <v>321000</v>
      </c>
      <c r="Q26" s="25">
        <v>140000</v>
      </c>
      <c r="R26" s="25">
        <v>120000</v>
      </c>
      <c r="S26" s="25"/>
      <c r="T26" s="25"/>
      <c r="U26" s="25"/>
    </row>
    <row r="27" spans="1:21" s="3" customFormat="1" ht="42.75" customHeight="1" x14ac:dyDescent="0.25">
      <c r="A27" s="17" t="s">
        <v>35</v>
      </c>
      <c r="B27" s="18" t="s">
        <v>43</v>
      </c>
      <c r="C27" s="19">
        <f>C28+C29</f>
        <v>263681000</v>
      </c>
      <c r="D27" s="19">
        <f t="shared" ref="D27:U27" si="8">D28+D29</f>
        <v>0</v>
      </c>
      <c r="E27" s="19">
        <f t="shared" si="8"/>
        <v>0</v>
      </c>
      <c r="F27" s="19">
        <f t="shared" si="8"/>
        <v>0</v>
      </c>
      <c r="G27" s="19">
        <f t="shared" si="8"/>
        <v>95341000</v>
      </c>
      <c r="H27" s="19">
        <f t="shared" si="8"/>
        <v>0</v>
      </c>
      <c r="I27" s="19">
        <f t="shared" si="8"/>
        <v>427000</v>
      </c>
      <c r="J27" s="19">
        <f t="shared" si="8"/>
        <v>700000</v>
      </c>
      <c r="K27" s="19">
        <f t="shared" si="8"/>
        <v>0</v>
      </c>
      <c r="L27" s="19">
        <f t="shared" si="8"/>
        <v>18865000</v>
      </c>
      <c r="M27" s="19">
        <f t="shared" si="8"/>
        <v>29467000</v>
      </c>
      <c r="N27" s="19">
        <f t="shared" si="8"/>
        <v>57210000</v>
      </c>
      <c r="O27" s="19">
        <f t="shared" si="8"/>
        <v>20255000</v>
      </c>
      <c r="P27" s="19">
        <f t="shared" si="8"/>
        <v>22833000</v>
      </c>
      <c r="Q27" s="19">
        <f t="shared" si="8"/>
        <v>9900000</v>
      </c>
      <c r="R27" s="19">
        <f t="shared" si="8"/>
        <v>8683000</v>
      </c>
      <c r="S27" s="19">
        <f t="shared" si="8"/>
        <v>0</v>
      </c>
      <c r="T27" s="19">
        <f t="shared" si="8"/>
        <v>0</v>
      </c>
      <c r="U27" s="19">
        <f t="shared" si="8"/>
        <v>0</v>
      </c>
    </row>
    <row r="28" spans="1:21" s="4" customFormat="1" ht="42.75" customHeight="1" x14ac:dyDescent="0.25">
      <c r="A28" s="20" t="s">
        <v>30</v>
      </c>
      <c r="B28" s="21" t="s">
        <v>48</v>
      </c>
      <c r="C28" s="22">
        <f>SUM(D28:U28)</f>
        <v>0</v>
      </c>
      <c r="D28" s="22"/>
      <c r="E28" s="22"/>
      <c r="F28" s="22"/>
      <c r="G28" s="22"/>
      <c r="H28" s="22"/>
      <c r="I28" s="22"/>
      <c r="J28" s="22"/>
      <c r="K28" s="22"/>
      <c r="L28" s="22"/>
      <c r="M28" s="22"/>
      <c r="N28" s="22"/>
      <c r="O28" s="22"/>
      <c r="P28" s="22"/>
      <c r="Q28" s="22"/>
      <c r="R28" s="22"/>
      <c r="S28" s="22"/>
      <c r="T28" s="22"/>
      <c r="U28" s="22"/>
    </row>
    <row r="29" spans="1:21" s="4" customFormat="1" ht="42.75" customHeight="1" x14ac:dyDescent="0.25">
      <c r="A29" s="20" t="s">
        <v>30</v>
      </c>
      <c r="B29" s="21" t="s">
        <v>49</v>
      </c>
      <c r="C29" s="22">
        <f>SUM(D29:U29)</f>
        <v>263681000</v>
      </c>
      <c r="D29" s="22"/>
      <c r="E29" s="22"/>
      <c r="F29" s="22"/>
      <c r="G29" s="22">
        <v>95341000</v>
      </c>
      <c r="H29" s="22"/>
      <c r="I29" s="22">
        <v>427000</v>
      </c>
      <c r="J29" s="22">
        <v>700000</v>
      </c>
      <c r="K29" s="22"/>
      <c r="L29" s="22">
        <v>18865000</v>
      </c>
      <c r="M29" s="22">
        <v>29467000</v>
      </c>
      <c r="N29" s="22">
        <v>57210000</v>
      </c>
      <c r="O29" s="22">
        <v>20255000</v>
      </c>
      <c r="P29" s="22">
        <v>22833000</v>
      </c>
      <c r="Q29" s="22">
        <v>9900000</v>
      </c>
      <c r="R29" s="22">
        <v>8683000</v>
      </c>
      <c r="S29" s="22"/>
      <c r="T29" s="22"/>
      <c r="U29" s="22"/>
    </row>
    <row r="30" spans="1:21" s="3" customFormat="1" ht="42.75" customHeight="1" x14ac:dyDescent="0.25">
      <c r="A30" s="17" t="s">
        <v>44</v>
      </c>
      <c r="B30" s="18" t="s">
        <v>50</v>
      </c>
      <c r="C30" s="19">
        <f>C31+C45+C96+C100</f>
        <v>384693273</v>
      </c>
      <c r="D30" s="19">
        <f t="shared" ref="D30:U30" si="9">D31+D45+D96</f>
        <v>42643553</v>
      </c>
      <c r="E30" s="19">
        <f t="shared" si="9"/>
        <v>2160004</v>
      </c>
      <c r="F30" s="19">
        <f t="shared" si="9"/>
        <v>2728956</v>
      </c>
      <c r="G30" s="19">
        <f t="shared" si="9"/>
        <v>19790798</v>
      </c>
      <c r="H30" s="19">
        <f t="shared" si="9"/>
        <v>1578600</v>
      </c>
      <c r="I30" s="19">
        <f t="shared" si="9"/>
        <v>2046592</v>
      </c>
      <c r="J30" s="19">
        <f t="shared" si="9"/>
        <v>34002797</v>
      </c>
      <c r="K30" s="19">
        <f t="shared" si="9"/>
        <v>22404440</v>
      </c>
      <c r="L30" s="19">
        <f t="shared" si="9"/>
        <v>41629494</v>
      </c>
      <c r="M30" s="19">
        <f t="shared" si="9"/>
        <v>43349092</v>
      </c>
      <c r="N30" s="19">
        <f t="shared" si="9"/>
        <v>35587798</v>
      </c>
      <c r="O30" s="19">
        <f t="shared" si="9"/>
        <v>39597554</v>
      </c>
      <c r="P30" s="19">
        <f t="shared" si="9"/>
        <v>30330392</v>
      </c>
      <c r="Q30" s="19">
        <f t="shared" si="9"/>
        <v>33332914</v>
      </c>
      <c r="R30" s="19">
        <f t="shared" si="9"/>
        <v>31710289</v>
      </c>
      <c r="S30" s="19">
        <f t="shared" si="9"/>
        <v>400000</v>
      </c>
      <c r="T30" s="19">
        <f t="shared" si="9"/>
        <v>350000</v>
      </c>
      <c r="U30" s="19">
        <f t="shared" si="9"/>
        <v>1050000</v>
      </c>
    </row>
    <row r="31" spans="1:21" s="3" customFormat="1" ht="42.75" customHeight="1" x14ac:dyDescent="0.25">
      <c r="A31" s="17">
        <v>1</v>
      </c>
      <c r="B31" s="18" t="s">
        <v>51</v>
      </c>
      <c r="C31" s="19">
        <f>C32+C34</f>
        <v>11231513</v>
      </c>
      <c r="D31" s="19">
        <f t="shared" ref="D31:U31" si="10">D32+D34</f>
        <v>6301553</v>
      </c>
      <c r="E31" s="19">
        <f t="shared" si="10"/>
        <v>1910504</v>
      </c>
      <c r="F31" s="19">
        <f t="shared" si="10"/>
        <v>2569456</v>
      </c>
      <c r="G31" s="19">
        <f t="shared" si="10"/>
        <v>9000</v>
      </c>
      <c r="H31" s="19">
        <f t="shared" si="10"/>
        <v>0</v>
      </c>
      <c r="I31" s="19">
        <f t="shared" si="10"/>
        <v>441000</v>
      </c>
      <c r="J31" s="19">
        <f t="shared" si="10"/>
        <v>0</v>
      </c>
      <c r="K31" s="19">
        <f t="shared" si="10"/>
        <v>0</v>
      </c>
      <c r="L31" s="19">
        <f t="shared" si="10"/>
        <v>0</v>
      </c>
      <c r="M31" s="19">
        <f t="shared" si="10"/>
        <v>0</v>
      </c>
      <c r="N31" s="19">
        <f t="shared" si="10"/>
        <v>0</v>
      </c>
      <c r="O31" s="19">
        <f t="shared" si="10"/>
        <v>0</v>
      </c>
      <c r="P31" s="19">
        <f t="shared" si="10"/>
        <v>0</v>
      </c>
      <c r="Q31" s="19">
        <f t="shared" si="10"/>
        <v>0</v>
      </c>
      <c r="R31" s="19">
        <f t="shared" si="10"/>
        <v>0</v>
      </c>
      <c r="S31" s="19">
        <f t="shared" si="10"/>
        <v>0</v>
      </c>
      <c r="T31" s="19">
        <f t="shared" si="10"/>
        <v>0</v>
      </c>
      <c r="U31" s="19">
        <f t="shared" si="10"/>
        <v>0</v>
      </c>
    </row>
    <row r="32" spans="1:21" s="4" customFormat="1" ht="42.75" customHeight="1" x14ac:dyDescent="0.25">
      <c r="A32" s="20" t="s">
        <v>37</v>
      </c>
      <c r="B32" s="21" t="s">
        <v>38</v>
      </c>
      <c r="C32" s="22">
        <f>C33</f>
        <v>8731000</v>
      </c>
      <c r="D32" s="22">
        <f t="shared" ref="D32:U32" si="11">D33</f>
        <v>5378600</v>
      </c>
      <c r="E32" s="22">
        <f t="shared" si="11"/>
        <v>1656000</v>
      </c>
      <c r="F32" s="22">
        <f t="shared" si="11"/>
        <v>1696400</v>
      </c>
      <c r="G32" s="22">
        <f t="shared" si="11"/>
        <v>0</v>
      </c>
      <c r="H32" s="22">
        <f t="shared" si="11"/>
        <v>0</v>
      </c>
      <c r="I32" s="22">
        <f t="shared" si="11"/>
        <v>0</v>
      </c>
      <c r="J32" s="22">
        <f t="shared" si="11"/>
        <v>0</v>
      </c>
      <c r="K32" s="22">
        <f t="shared" si="11"/>
        <v>0</v>
      </c>
      <c r="L32" s="22">
        <f t="shared" si="11"/>
        <v>0</v>
      </c>
      <c r="M32" s="22">
        <f t="shared" si="11"/>
        <v>0</v>
      </c>
      <c r="N32" s="22">
        <f t="shared" si="11"/>
        <v>0</v>
      </c>
      <c r="O32" s="22">
        <f t="shared" si="11"/>
        <v>0</v>
      </c>
      <c r="P32" s="22">
        <f t="shared" si="11"/>
        <v>0</v>
      </c>
      <c r="Q32" s="22">
        <f t="shared" si="11"/>
        <v>0</v>
      </c>
      <c r="R32" s="22">
        <f t="shared" si="11"/>
        <v>0</v>
      </c>
      <c r="S32" s="22">
        <f t="shared" si="11"/>
        <v>0</v>
      </c>
      <c r="T32" s="22">
        <f t="shared" si="11"/>
        <v>0</v>
      </c>
      <c r="U32" s="22">
        <f t="shared" si="11"/>
        <v>0</v>
      </c>
    </row>
    <row r="33" spans="1:21" s="6" customFormat="1" ht="42.75" customHeight="1" x14ac:dyDescent="0.25">
      <c r="A33" s="23" t="s">
        <v>30</v>
      </c>
      <c r="B33" s="24" t="s">
        <v>52</v>
      </c>
      <c r="C33" s="25">
        <f>SUM(D33:U33)</f>
        <v>8731000</v>
      </c>
      <c r="D33" s="25">
        <f>5378550+50</f>
        <v>5378600</v>
      </c>
      <c r="E33" s="25">
        <f>1656049-49</f>
        <v>1656000</v>
      </c>
      <c r="F33" s="25">
        <v>1696400</v>
      </c>
      <c r="G33" s="25"/>
      <c r="H33" s="25"/>
      <c r="I33" s="25"/>
      <c r="J33" s="25"/>
      <c r="K33" s="25"/>
      <c r="L33" s="25"/>
      <c r="M33" s="25"/>
      <c r="N33" s="25"/>
      <c r="O33" s="25"/>
      <c r="P33" s="25"/>
      <c r="Q33" s="25"/>
      <c r="R33" s="25"/>
      <c r="S33" s="25"/>
      <c r="T33" s="25"/>
      <c r="U33" s="25"/>
    </row>
    <row r="34" spans="1:21" s="4" customFormat="1" ht="42.75" customHeight="1" x14ac:dyDescent="0.25">
      <c r="A34" s="20" t="s">
        <v>40</v>
      </c>
      <c r="B34" s="21" t="s">
        <v>41</v>
      </c>
      <c r="C34" s="22">
        <f t="shared" ref="C34:U34" si="12">SUM(C35:C44)</f>
        <v>2500513</v>
      </c>
      <c r="D34" s="22">
        <f t="shared" si="12"/>
        <v>922953</v>
      </c>
      <c r="E34" s="22">
        <f t="shared" si="12"/>
        <v>254504</v>
      </c>
      <c r="F34" s="22">
        <f t="shared" si="12"/>
        <v>873056</v>
      </c>
      <c r="G34" s="22">
        <f t="shared" si="12"/>
        <v>9000</v>
      </c>
      <c r="H34" s="22">
        <f t="shared" si="12"/>
        <v>0</v>
      </c>
      <c r="I34" s="22">
        <f t="shared" si="12"/>
        <v>441000</v>
      </c>
      <c r="J34" s="22">
        <f t="shared" si="12"/>
        <v>0</v>
      </c>
      <c r="K34" s="22">
        <f t="shared" si="12"/>
        <v>0</v>
      </c>
      <c r="L34" s="22">
        <f t="shared" si="12"/>
        <v>0</v>
      </c>
      <c r="M34" s="22">
        <f t="shared" si="12"/>
        <v>0</v>
      </c>
      <c r="N34" s="22">
        <f t="shared" si="12"/>
        <v>0</v>
      </c>
      <c r="O34" s="22">
        <f t="shared" si="12"/>
        <v>0</v>
      </c>
      <c r="P34" s="22">
        <f t="shared" si="12"/>
        <v>0</v>
      </c>
      <c r="Q34" s="22">
        <f t="shared" si="12"/>
        <v>0</v>
      </c>
      <c r="R34" s="22">
        <f t="shared" si="12"/>
        <v>0</v>
      </c>
      <c r="S34" s="22">
        <f t="shared" si="12"/>
        <v>0</v>
      </c>
      <c r="T34" s="22">
        <f t="shared" si="12"/>
        <v>0</v>
      </c>
      <c r="U34" s="22">
        <f t="shared" si="12"/>
        <v>0</v>
      </c>
    </row>
    <row r="35" spans="1:21" s="6" customFormat="1" ht="42.75" customHeight="1" x14ac:dyDescent="0.25">
      <c r="A35" s="23" t="s">
        <v>30</v>
      </c>
      <c r="B35" s="24" t="s">
        <v>53</v>
      </c>
      <c r="C35" s="25">
        <f>SUM(D35:U35)</f>
        <v>40000</v>
      </c>
      <c r="D35" s="25">
        <v>10750</v>
      </c>
      <c r="E35" s="25">
        <v>22500</v>
      </c>
      <c r="F35" s="25">
        <v>6750</v>
      </c>
      <c r="G35" s="25"/>
      <c r="H35" s="25"/>
      <c r="I35" s="25"/>
      <c r="J35" s="25"/>
      <c r="K35" s="25"/>
      <c r="L35" s="25"/>
      <c r="M35" s="25"/>
      <c r="N35" s="25"/>
      <c r="O35" s="25"/>
      <c r="P35" s="25"/>
      <c r="Q35" s="25"/>
      <c r="R35" s="25"/>
      <c r="S35" s="25"/>
      <c r="T35" s="25"/>
      <c r="U35" s="25"/>
    </row>
    <row r="36" spans="1:21" s="6" customFormat="1" ht="42.75" customHeight="1" x14ac:dyDescent="0.25">
      <c r="A36" s="23" t="s">
        <v>30</v>
      </c>
      <c r="B36" s="24" t="s">
        <v>54</v>
      </c>
      <c r="C36" s="25">
        <f t="shared" ref="C36:C44" si="13">SUM(D36:U36)</f>
        <v>409000</v>
      </c>
      <c r="D36" s="25">
        <v>233000</v>
      </c>
      <c r="E36" s="25">
        <v>59000</v>
      </c>
      <c r="F36" s="25">
        <v>117000</v>
      </c>
      <c r="G36" s="25"/>
      <c r="H36" s="25"/>
      <c r="I36" s="25"/>
      <c r="J36" s="25"/>
      <c r="K36" s="25"/>
      <c r="L36" s="25"/>
      <c r="M36" s="25"/>
      <c r="N36" s="25"/>
      <c r="O36" s="25"/>
      <c r="P36" s="25"/>
      <c r="Q36" s="25"/>
      <c r="R36" s="25"/>
      <c r="S36" s="25"/>
      <c r="T36" s="25"/>
      <c r="U36" s="25"/>
    </row>
    <row r="37" spans="1:21" s="6" customFormat="1" ht="42.75" customHeight="1" x14ac:dyDescent="0.25">
      <c r="A37" s="23" t="s">
        <v>30</v>
      </c>
      <c r="B37" s="24" t="s">
        <v>55</v>
      </c>
      <c r="C37" s="25">
        <f t="shared" si="13"/>
        <v>9000</v>
      </c>
      <c r="D37" s="25"/>
      <c r="E37" s="25"/>
      <c r="F37" s="25"/>
      <c r="G37" s="25">
        <v>9000</v>
      </c>
      <c r="H37" s="25"/>
      <c r="I37" s="25"/>
      <c r="J37" s="25"/>
      <c r="K37" s="25"/>
      <c r="L37" s="25"/>
      <c r="M37" s="25"/>
      <c r="N37" s="25"/>
      <c r="O37" s="25"/>
      <c r="P37" s="25"/>
      <c r="Q37" s="25"/>
      <c r="R37" s="25"/>
      <c r="S37" s="25"/>
      <c r="T37" s="25"/>
      <c r="U37" s="25"/>
    </row>
    <row r="38" spans="1:21" s="6" customFormat="1" ht="42.75" customHeight="1" x14ac:dyDescent="0.25">
      <c r="A38" s="23" t="s">
        <v>30</v>
      </c>
      <c r="B38" s="24" t="s">
        <v>56</v>
      </c>
      <c r="C38" s="25">
        <f t="shared" si="13"/>
        <v>18000</v>
      </c>
      <c r="D38" s="25">
        <v>18000</v>
      </c>
      <c r="E38" s="25"/>
      <c r="F38" s="25"/>
      <c r="G38" s="25"/>
      <c r="H38" s="25"/>
      <c r="I38" s="25"/>
      <c r="J38" s="25"/>
      <c r="K38" s="25"/>
      <c r="L38" s="25"/>
      <c r="M38" s="25"/>
      <c r="N38" s="25"/>
      <c r="O38" s="25"/>
      <c r="P38" s="25"/>
      <c r="Q38" s="25"/>
      <c r="R38" s="25"/>
      <c r="S38" s="25"/>
      <c r="T38" s="25"/>
      <c r="U38" s="25"/>
    </row>
    <row r="39" spans="1:21" s="6" customFormat="1" ht="67.5" customHeight="1" x14ac:dyDescent="0.25">
      <c r="A39" s="23" t="s">
        <v>30</v>
      </c>
      <c r="B39" s="24" t="s">
        <v>57</v>
      </c>
      <c r="C39" s="25">
        <f t="shared" si="13"/>
        <v>94000</v>
      </c>
      <c r="D39" s="25"/>
      <c r="E39" s="25"/>
      <c r="F39" s="25">
        <v>94000</v>
      </c>
      <c r="G39" s="25"/>
      <c r="H39" s="25"/>
      <c r="I39" s="25"/>
      <c r="J39" s="25"/>
      <c r="K39" s="25"/>
      <c r="L39" s="25"/>
      <c r="M39" s="25"/>
      <c r="N39" s="25"/>
      <c r="O39" s="25"/>
      <c r="P39" s="25"/>
      <c r="Q39" s="25"/>
      <c r="R39" s="25"/>
      <c r="S39" s="25"/>
      <c r="T39" s="25"/>
      <c r="U39" s="25"/>
    </row>
    <row r="40" spans="1:21" s="6" customFormat="1" ht="42.75" customHeight="1" x14ac:dyDescent="0.25">
      <c r="A40" s="23" t="s">
        <v>30</v>
      </c>
      <c r="B40" s="24" t="s">
        <v>58</v>
      </c>
      <c r="C40" s="25">
        <f t="shared" si="13"/>
        <v>135000</v>
      </c>
      <c r="D40" s="25"/>
      <c r="E40" s="25">
        <v>50000</v>
      </c>
      <c r="F40" s="25">
        <v>85000</v>
      </c>
      <c r="G40" s="25"/>
      <c r="H40" s="25"/>
      <c r="I40" s="25"/>
      <c r="J40" s="25"/>
      <c r="K40" s="25"/>
      <c r="L40" s="25"/>
      <c r="M40" s="25"/>
      <c r="N40" s="25"/>
      <c r="O40" s="25"/>
      <c r="P40" s="25"/>
      <c r="Q40" s="25"/>
      <c r="R40" s="25"/>
      <c r="S40" s="25"/>
      <c r="T40" s="25"/>
      <c r="U40" s="25"/>
    </row>
    <row r="41" spans="1:21" s="6" customFormat="1" ht="42.75" customHeight="1" x14ac:dyDescent="0.25">
      <c r="A41" s="23" t="s">
        <v>30</v>
      </c>
      <c r="B41" s="24" t="s">
        <v>59</v>
      </c>
      <c r="C41" s="25">
        <f t="shared" si="13"/>
        <v>450000</v>
      </c>
      <c r="D41" s="25">
        <v>450000</v>
      </c>
      <c r="E41" s="25"/>
      <c r="F41" s="25"/>
      <c r="G41" s="25"/>
      <c r="H41" s="25"/>
      <c r="I41" s="25"/>
      <c r="J41" s="25"/>
      <c r="K41" s="25"/>
      <c r="L41" s="25"/>
      <c r="M41" s="25"/>
      <c r="N41" s="25"/>
      <c r="O41" s="25"/>
      <c r="P41" s="25"/>
      <c r="Q41" s="25"/>
      <c r="R41" s="25"/>
      <c r="S41" s="25"/>
      <c r="T41" s="25"/>
      <c r="U41" s="25"/>
    </row>
    <row r="42" spans="1:21" s="6" customFormat="1" ht="42.75" customHeight="1" x14ac:dyDescent="0.25">
      <c r="A42" s="23" t="s">
        <v>30</v>
      </c>
      <c r="B42" s="24" t="s">
        <v>60</v>
      </c>
      <c r="C42" s="25">
        <f t="shared" si="13"/>
        <v>432000</v>
      </c>
      <c r="D42" s="25"/>
      <c r="E42" s="25"/>
      <c r="F42" s="25">
        <v>432000</v>
      </c>
      <c r="G42" s="25"/>
      <c r="H42" s="25"/>
      <c r="I42" s="25"/>
      <c r="J42" s="25"/>
      <c r="K42" s="25"/>
      <c r="L42" s="25"/>
      <c r="M42" s="25"/>
      <c r="N42" s="25"/>
      <c r="O42" s="25"/>
      <c r="P42" s="25"/>
      <c r="Q42" s="25"/>
      <c r="R42" s="25"/>
      <c r="S42" s="25"/>
      <c r="T42" s="25"/>
      <c r="U42" s="25"/>
    </row>
    <row r="43" spans="1:21" s="6" customFormat="1" ht="42.75" customHeight="1" x14ac:dyDescent="0.25">
      <c r="A43" s="23" t="s">
        <v>30</v>
      </c>
      <c r="B43" s="24" t="s">
        <v>61</v>
      </c>
      <c r="C43" s="25">
        <f t="shared" si="13"/>
        <v>441000</v>
      </c>
      <c r="D43" s="25"/>
      <c r="E43" s="25"/>
      <c r="F43" s="25"/>
      <c r="G43" s="25"/>
      <c r="H43" s="25"/>
      <c r="I43" s="25">
        <v>441000</v>
      </c>
      <c r="J43" s="25"/>
      <c r="K43" s="25"/>
      <c r="L43" s="25"/>
      <c r="M43" s="25"/>
      <c r="N43" s="25"/>
      <c r="O43" s="25"/>
      <c r="P43" s="25"/>
      <c r="Q43" s="25"/>
      <c r="R43" s="25"/>
      <c r="S43" s="25"/>
      <c r="T43" s="25"/>
      <c r="U43" s="25"/>
    </row>
    <row r="44" spans="1:21" s="6" customFormat="1" ht="82.5" customHeight="1" x14ac:dyDescent="0.25">
      <c r="A44" s="23" t="s">
        <v>30</v>
      </c>
      <c r="B44" s="90" t="s">
        <v>181</v>
      </c>
      <c r="C44" s="25">
        <f t="shared" si="13"/>
        <v>472513</v>
      </c>
      <c r="D44" s="25">
        <v>211203</v>
      </c>
      <c r="E44" s="25">
        <v>123004</v>
      </c>
      <c r="F44" s="25">
        <v>138306</v>
      </c>
      <c r="G44" s="25"/>
      <c r="H44" s="25"/>
      <c r="I44" s="25"/>
      <c r="J44" s="25"/>
      <c r="K44" s="25"/>
      <c r="L44" s="25"/>
      <c r="M44" s="25"/>
      <c r="N44" s="25"/>
      <c r="O44" s="25"/>
      <c r="P44" s="25"/>
      <c r="Q44" s="25"/>
      <c r="R44" s="25"/>
      <c r="S44" s="25"/>
      <c r="T44" s="25"/>
      <c r="U44" s="25"/>
    </row>
    <row r="45" spans="1:21" s="3" customFormat="1" ht="42.75" customHeight="1" x14ac:dyDescent="0.25">
      <c r="A45" s="17">
        <v>2</v>
      </c>
      <c r="B45" s="18" t="s">
        <v>43</v>
      </c>
      <c r="C45" s="19">
        <f t="shared" ref="C45:U45" si="14">C46+C73</f>
        <v>372238760</v>
      </c>
      <c r="D45" s="19">
        <f t="shared" si="14"/>
        <v>36315000</v>
      </c>
      <c r="E45" s="19">
        <f t="shared" si="14"/>
        <v>240000</v>
      </c>
      <c r="F45" s="19">
        <f t="shared" si="14"/>
        <v>150000</v>
      </c>
      <c r="G45" s="19">
        <f t="shared" si="14"/>
        <v>19676798</v>
      </c>
      <c r="H45" s="19">
        <f t="shared" si="14"/>
        <v>1569000</v>
      </c>
      <c r="I45" s="19">
        <f t="shared" si="14"/>
        <v>1595992</v>
      </c>
      <c r="J45" s="19">
        <f t="shared" si="14"/>
        <v>33890797</v>
      </c>
      <c r="K45" s="19">
        <f t="shared" si="14"/>
        <v>22329240</v>
      </c>
      <c r="L45" s="19">
        <f t="shared" si="14"/>
        <v>41496694</v>
      </c>
      <c r="M45" s="19">
        <f t="shared" si="14"/>
        <v>43205892</v>
      </c>
      <c r="N45" s="19">
        <f t="shared" si="14"/>
        <v>35438198</v>
      </c>
      <c r="O45" s="19">
        <f t="shared" si="14"/>
        <v>39467154</v>
      </c>
      <c r="P45" s="19">
        <f t="shared" si="14"/>
        <v>30217592</v>
      </c>
      <c r="Q45" s="19">
        <f t="shared" si="14"/>
        <v>33227314</v>
      </c>
      <c r="R45" s="19">
        <f t="shared" si="14"/>
        <v>31619089</v>
      </c>
      <c r="S45" s="19">
        <f t="shared" si="14"/>
        <v>400000</v>
      </c>
      <c r="T45" s="19">
        <f t="shared" si="14"/>
        <v>350000</v>
      </c>
      <c r="U45" s="19">
        <f t="shared" si="14"/>
        <v>1050000</v>
      </c>
    </row>
    <row r="46" spans="1:21" s="3" customFormat="1" ht="42.75" customHeight="1" x14ac:dyDescent="0.25">
      <c r="A46" s="17" t="s">
        <v>35</v>
      </c>
      <c r="B46" s="18" t="s">
        <v>62</v>
      </c>
      <c r="C46" s="19">
        <f t="shared" ref="C46:U46" si="15">C47+C48</f>
        <v>105007755</v>
      </c>
      <c r="D46" s="19">
        <f t="shared" si="15"/>
        <v>11284000</v>
      </c>
      <c r="E46" s="19">
        <f t="shared" si="15"/>
        <v>240000</v>
      </c>
      <c r="F46" s="19">
        <f t="shared" si="15"/>
        <v>150000</v>
      </c>
      <c r="G46" s="19">
        <f t="shared" si="15"/>
        <v>8959000</v>
      </c>
      <c r="H46" s="19">
        <f t="shared" si="15"/>
        <v>0</v>
      </c>
      <c r="I46" s="19">
        <f t="shared" si="15"/>
        <v>0</v>
      </c>
      <c r="J46" s="19">
        <f t="shared" si="15"/>
        <v>33890797</v>
      </c>
      <c r="K46" s="19">
        <f t="shared" si="15"/>
        <v>10091362</v>
      </c>
      <c r="L46" s="19">
        <f t="shared" si="15"/>
        <v>5184403</v>
      </c>
      <c r="M46" s="19">
        <f t="shared" si="15"/>
        <v>6920992</v>
      </c>
      <c r="N46" s="19">
        <f t="shared" si="15"/>
        <v>3589562</v>
      </c>
      <c r="O46" s="19">
        <f t="shared" si="15"/>
        <v>7881170</v>
      </c>
      <c r="P46" s="19">
        <f t="shared" si="15"/>
        <v>3375716</v>
      </c>
      <c r="Q46" s="19">
        <f t="shared" si="15"/>
        <v>6350186</v>
      </c>
      <c r="R46" s="19">
        <f t="shared" si="15"/>
        <v>5290567</v>
      </c>
      <c r="S46" s="19">
        <f t="shared" si="15"/>
        <v>400000</v>
      </c>
      <c r="T46" s="19">
        <f t="shared" si="15"/>
        <v>350000</v>
      </c>
      <c r="U46" s="19">
        <f t="shared" si="15"/>
        <v>1050000</v>
      </c>
    </row>
    <row r="47" spans="1:21" s="4" customFormat="1" ht="42.75" customHeight="1" x14ac:dyDescent="0.25">
      <c r="A47" s="20" t="s">
        <v>37</v>
      </c>
      <c r="B47" s="21" t="s">
        <v>48</v>
      </c>
      <c r="C47" s="22"/>
      <c r="D47" s="22"/>
      <c r="E47" s="22"/>
      <c r="F47" s="22"/>
      <c r="G47" s="22"/>
      <c r="H47" s="22"/>
      <c r="I47" s="22"/>
      <c r="J47" s="22"/>
      <c r="K47" s="22"/>
      <c r="L47" s="22"/>
      <c r="M47" s="22"/>
      <c r="N47" s="22"/>
      <c r="O47" s="22"/>
      <c r="P47" s="22"/>
      <c r="Q47" s="22"/>
      <c r="R47" s="22"/>
      <c r="S47" s="22"/>
      <c r="T47" s="22"/>
      <c r="U47" s="22"/>
    </row>
    <row r="48" spans="1:21" s="4" customFormat="1" ht="42.75" customHeight="1" x14ac:dyDescent="0.25">
      <c r="A48" s="20" t="s">
        <v>40</v>
      </c>
      <c r="B48" s="21" t="s">
        <v>49</v>
      </c>
      <c r="C48" s="22">
        <f>SUM(C49:C58)+C59+C60+C64+C65+SUM(C66:C72)</f>
        <v>105007755</v>
      </c>
      <c r="D48" s="22">
        <f t="shared" ref="D48:U48" si="16">SUM(D49:D58)+D59+D60+D64+D65+SUM(D66:D72)</f>
        <v>11284000</v>
      </c>
      <c r="E48" s="22">
        <f t="shared" si="16"/>
        <v>240000</v>
      </c>
      <c r="F48" s="22">
        <f t="shared" si="16"/>
        <v>150000</v>
      </c>
      <c r="G48" s="22">
        <f t="shared" si="16"/>
        <v>8959000</v>
      </c>
      <c r="H48" s="22">
        <f t="shared" si="16"/>
        <v>0</v>
      </c>
      <c r="I48" s="22">
        <f t="shared" si="16"/>
        <v>0</v>
      </c>
      <c r="J48" s="22">
        <f t="shared" si="16"/>
        <v>33890797</v>
      </c>
      <c r="K48" s="22">
        <f t="shared" si="16"/>
        <v>10091362</v>
      </c>
      <c r="L48" s="22">
        <f t="shared" si="16"/>
        <v>5184403</v>
      </c>
      <c r="M48" s="22">
        <f t="shared" si="16"/>
        <v>6920992</v>
      </c>
      <c r="N48" s="22">
        <f t="shared" si="16"/>
        <v>3589562</v>
      </c>
      <c r="O48" s="22">
        <f t="shared" si="16"/>
        <v>7881170</v>
      </c>
      <c r="P48" s="22">
        <f t="shared" si="16"/>
        <v>3375716</v>
      </c>
      <c r="Q48" s="22">
        <f t="shared" si="16"/>
        <v>6350186</v>
      </c>
      <c r="R48" s="22">
        <f t="shared" si="16"/>
        <v>5290567</v>
      </c>
      <c r="S48" s="22">
        <f t="shared" si="16"/>
        <v>400000</v>
      </c>
      <c r="T48" s="22">
        <f t="shared" si="16"/>
        <v>350000</v>
      </c>
      <c r="U48" s="22">
        <f t="shared" si="16"/>
        <v>1050000</v>
      </c>
    </row>
    <row r="49" spans="1:21" s="6" customFormat="1" ht="42.75" customHeight="1" x14ac:dyDescent="0.25">
      <c r="A49" s="23" t="s">
        <v>30</v>
      </c>
      <c r="B49" s="26" t="s">
        <v>63</v>
      </c>
      <c r="C49" s="25">
        <f t="shared" ref="C49:C59" si="17">SUM(D49:U49)</f>
        <v>21953000</v>
      </c>
      <c r="D49" s="25"/>
      <c r="E49" s="25"/>
      <c r="F49" s="25"/>
      <c r="G49" s="25"/>
      <c r="H49" s="25"/>
      <c r="I49" s="25"/>
      <c r="J49" s="25">
        <f>17524000+49000</f>
        <v>17573000</v>
      </c>
      <c r="K49" s="25">
        <f>4367000+13000</f>
        <v>4380000</v>
      </c>
      <c r="L49" s="25"/>
      <c r="M49" s="25"/>
      <c r="N49" s="25"/>
      <c r="O49" s="25"/>
      <c r="P49" s="25"/>
      <c r="Q49" s="25"/>
      <c r="R49" s="25"/>
      <c r="S49" s="25"/>
      <c r="T49" s="25"/>
      <c r="U49" s="25"/>
    </row>
    <row r="50" spans="1:21" s="6" customFormat="1" ht="54.75" customHeight="1" x14ac:dyDescent="0.25">
      <c r="A50" s="23" t="s">
        <v>30</v>
      </c>
      <c r="B50" s="24" t="s">
        <v>64</v>
      </c>
      <c r="C50" s="25">
        <f t="shared" si="17"/>
        <v>2850000</v>
      </c>
      <c r="D50" s="25"/>
      <c r="E50" s="25"/>
      <c r="F50" s="25"/>
      <c r="G50" s="25"/>
      <c r="H50" s="25"/>
      <c r="I50" s="25"/>
      <c r="J50" s="25"/>
      <c r="K50" s="25">
        <v>232000</v>
      </c>
      <c r="L50" s="25">
        <v>444000</v>
      </c>
      <c r="M50" s="25">
        <v>574000</v>
      </c>
      <c r="N50" s="25">
        <v>377000</v>
      </c>
      <c r="O50" s="25">
        <v>460000</v>
      </c>
      <c r="P50" s="25">
        <v>231000</v>
      </c>
      <c r="Q50" s="25">
        <v>261000</v>
      </c>
      <c r="R50" s="25">
        <v>271000</v>
      </c>
      <c r="S50" s="25"/>
      <c r="T50" s="25"/>
      <c r="U50" s="25"/>
    </row>
    <row r="51" spans="1:21" s="6" customFormat="1" ht="57.75" customHeight="1" x14ac:dyDescent="0.25">
      <c r="A51" s="23" t="s">
        <v>30</v>
      </c>
      <c r="B51" s="24" t="s">
        <v>65</v>
      </c>
      <c r="C51" s="25">
        <f t="shared" si="17"/>
        <v>3809000</v>
      </c>
      <c r="D51" s="25">
        <f>500000</f>
        <v>500000</v>
      </c>
      <c r="E51" s="25"/>
      <c r="F51" s="25"/>
      <c r="G51" s="25">
        <f>64000+716000</f>
        <v>780000</v>
      </c>
      <c r="H51" s="25"/>
      <c r="I51" s="25"/>
      <c r="J51" s="25">
        <f>850000+50000+193000</f>
        <v>1093000</v>
      </c>
      <c r="K51" s="25">
        <f>150000-10000</f>
        <v>140000</v>
      </c>
      <c r="L51" s="25">
        <v>200000</v>
      </c>
      <c r="M51" s="25">
        <v>200000</v>
      </c>
      <c r="N51" s="25">
        <f>200000+10000</f>
        <v>210000</v>
      </c>
      <c r="O51" s="25">
        <v>200000</v>
      </c>
      <c r="P51" s="25">
        <f>200000-64000</f>
        <v>136000</v>
      </c>
      <c r="Q51" s="25">
        <v>200000</v>
      </c>
      <c r="R51" s="25">
        <f>200000-50000</f>
        <v>150000</v>
      </c>
      <c r="S51" s="25"/>
      <c r="T51" s="25"/>
      <c r="U51" s="25"/>
    </row>
    <row r="52" spans="1:21" s="6" customFormat="1" ht="42.75" customHeight="1" x14ac:dyDescent="0.25">
      <c r="A52" s="23" t="s">
        <v>30</v>
      </c>
      <c r="B52" s="24" t="s">
        <v>66</v>
      </c>
      <c r="C52" s="25">
        <f t="shared" si="17"/>
        <v>360000</v>
      </c>
      <c r="D52" s="25">
        <v>20000</v>
      </c>
      <c r="E52" s="25">
        <v>220000</v>
      </c>
      <c r="F52" s="25"/>
      <c r="G52" s="25"/>
      <c r="H52" s="25"/>
      <c r="I52" s="25"/>
      <c r="J52" s="25"/>
      <c r="K52" s="25">
        <v>10000</v>
      </c>
      <c r="L52" s="25">
        <v>20000</v>
      </c>
      <c r="M52" s="25">
        <v>10000</v>
      </c>
      <c r="N52" s="25">
        <v>20000</v>
      </c>
      <c r="O52" s="25">
        <v>15000</v>
      </c>
      <c r="P52" s="25">
        <v>15000</v>
      </c>
      <c r="Q52" s="25">
        <v>20000</v>
      </c>
      <c r="R52" s="25">
        <v>10000</v>
      </c>
      <c r="S52" s="25"/>
      <c r="T52" s="25"/>
      <c r="U52" s="25"/>
    </row>
    <row r="53" spans="1:21" s="6" customFormat="1" ht="42.75" customHeight="1" x14ac:dyDescent="0.25">
      <c r="A53" s="23" t="s">
        <v>30</v>
      </c>
      <c r="B53" s="24" t="s">
        <v>80</v>
      </c>
      <c r="C53" s="25"/>
      <c r="D53" s="25"/>
      <c r="E53" s="25"/>
      <c r="F53" s="25"/>
      <c r="G53" s="25"/>
      <c r="H53" s="25"/>
      <c r="I53" s="25"/>
      <c r="J53" s="25"/>
      <c r="K53" s="25"/>
      <c r="L53" s="25"/>
      <c r="M53" s="25"/>
      <c r="N53" s="25"/>
      <c r="O53" s="25"/>
      <c r="P53" s="25"/>
      <c r="Q53" s="25"/>
      <c r="R53" s="25"/>
      <c r="S53" s="25"/>
      <c r="T53" s="25"/>
      <c r="U53" s="25"/>
    </row>
    <row r="54" spans="1:21" s="6" customFormat="1" ht="50.25" customHeight="1" x14ac:dyDescent="0.25">
      <c r="A54" s="23" t="s">
        <v>30</v>
      </c>
      <c r="B54" s="24" t="s">
        <v>187</v>
      </c>
      <c r="C54" s="25">
        <f t="shared" si="17"/>
        <v>4950000</v>
      </c>
      <c r="D54" s="25"/>
      <c r="E54" s="25"/>
      <c r="F54" s="25"/>
      <c r="G54" s="25"/>
      <c r="H54" s="25"/>
      <c r="I54" s="25"/>
      <c r="J54" s="25">
        <v>1960000</v>
      </c>
      <c r="K54" s="25">
        <v>278000</v>
      </c>
      <c r="L54" s="25">
        <v>436000</v>
      </c>
      <c r="M54" s="25">
        <v>326000</v>
      </c>
      <c r="N54" s="25">
        <v>366000</v>
      </c>
      <c r="O54" s="25">
        <v>417000</v>
      </c>
      <c r="P54" s="25">
        <v>411000</v>
      </c>
      <c r="Q54" s="25">
        <v>387000</v>
      </c>
      <c r="R54" s="25">
        <v>369000</v>
      </c>
      <c r="S54" s="25"/>
      <c r="T54" s="25"/>
      <c r="U54" s="25"/>
    </row>
    <row r="55" spans="1:21" s="6" customFormat="1" ht="51" customHeight="1" x14ac:dyDescent="0.25">
      <c r="A55" s="23" t="s">
        <v>30</v>
      </c>
      <c r="B55" s="24" t="s">
        <v>80</v>
      </c>
      <c r="C55" s="25">
        <f t="shared" si="17"/>
        <v>1864636</v>
      </c>
      <c r="D55" s="25"/>
      <c r="E55" s="25"/>
      <c r="F55" s="25"/>
      <c r="G55" s="25"/>
      <c r="H55" s="25"/>
      <c r="I55" s="25"/>
      <c r="J55" s="25">
        <v>978000</v>
      </c>
      <c r="K55" s="25">
        <v>44000</v>
      </c>
      <c r="L55" s="25">
        <v>132000</v>
      </c>
      <c r="M55" s="25">
        <v>112000</v>
      </c>
      <c r="N55" s="25">
        <v>135636</v>
      </c>
      <c r="O55" s="25">
        <v>140000</v>
      </c>
      <c r="P55" s="25">
        <v>107000</v>
      </c>
      <c r="Q55" s="25">
        <v>107000</v>
      </c>
      <c r="R55" s="25">
        <v>109000</v>
      </c>
      <c r="S55" s="25"/>
      <c r="T55" s="25"/>
      <c r="U55" s="25"/>
    </row>
    <row r="56" spans="1:21" s="6" customFormat="1" ht="72" customHeight="1" x14ac:dyDescent="0.25">
      <c r="A56" s="23" t="s">
        <v>30</v>
      </c>
      <c r="B56" s="24" t="s">
        <v>81</v>
      </c>
      <c r="C56" s="25">
        <f t="shared" si="17"/>
        <v>2700000</v>
      </c>
      <c r="D56" s="25"/>
      <c r="E56" s="25"/>
      <c r="F56" s="25"/>
      <c r="G56" s="25"/>
      <c r="H56" s="25"/>
      <c r="I56" s="25"/>
      <c r="J56" s="25">
        <v>957000</v>
      </c>
      <c r="K56" s="25">
        <v>168000</v>
      </c>
      <c r="L56" s="25">
        <v>252000</v>
      </c>
      <c r="M56" s="25">
        <v>207000</v>
      </c>
      <c r="N56" s="25">
        <v>198000</v>
      </c>
      <c r="O56" s="25">
        <v>223000</v>
      </c>
      <c r="P56" s="25">
        <v>212000</v>
      </c>
      <c r="Q56" s="25">
        <v>236000</v>
      </c>
      <c r="R56" s="25">
        <v>247000</v>
      </c>
      <c r="S56" s="25"/>
      <c r="T56" s="25"/>
      <c r="U56" s="25"/>
    </row>
    <row r="57" spans="1:21" s="6" customFormat="1" ht="105" customHeight="1" x14ac:dyDescent="0.25">
      <c r="A57" s="23" t="s">
        <v>30</v>
      </c>
      <c r="B57" s="117" t="s">
        <v>169</v>
      </c>
      <c r="C57" s="25">
        <f t="shared" si="17"/>
        <v>60000</v>
      </c>
      <c r="D57" s="25"/>
      <c r="E57" s="25"/>
      <c r="F57" s="25"/>
      <c r="G57" s="25"/>
      <c r="H57" s="25"/>
      <c r="I57" s="25"/>
      <c r="J57" s="25">
        <v>60000</v>
      </c>
      <c r="K57" s="25"/>
      <c r="L57" s="25"/>
      <c r="M57" s="25"/>
      <c r="N57" s="25"/>
      <c r="O57" s="25"/>
      <c r="P57" s="25"/>
      <c r="Q57" s="25"/>
      <c r="R57" s="25"/>
      <c r="S57" s="25"/>
      <c r="T57" s="25"/>
      <c r="U57" s="25"/>
    </row>
    <row r="58" spans="1:21" s="6" customFormat="1" ht="180" customHeight="1" x14ac:dyDescent="0.25">
      <c r="A58" s="23" t="s">
        <v>30</v>
      </c>
      <c r="B58" s="27" t="s">
        <v>110</v>
      </c>
      <c r="C58" s="25">
        <f t="shared" si="17"/>
        <v>622000</v>
      </c>
      <c r="D58" s="25">
        <v>0</v>
      </c>
      <c r="E58" s="25">
        <v>0</v>
      </c>
      <c r="F58" s="25">
        <v>150000</v>
      </c>
      <c r="G58" s="25">
        <v>0</v>
      </c>
      <c r="H58" s="25">
        <v>0</v>
      </c>
      <c r="I58" s="25">
        <v>0</v>
      </c>
      <c r="J58" s="25">
        <v>472000</v>
      </c>
      <c r="K58" s="25">
        <v>0</v>
      </c>
      <c r="L58" s="25">
        <v>0</v>
      </c>
      <c r="M58" s="25">
        <v>0</v>
      </c>
      <c r="N58" s="25">
        <v>0</v>
      </c>
      <c r="O58" s="25">
        <v>0</v>
      </c>
      <c r="P58" s="25">
        <v>0</v>
      </c>
      <c r="Q58" s="25">
        <v>0</v>
      </c>
      <c r="R58" s="25">
        <v>0</v>
      </c>
      <c r="S58" s="25">
        <v>0</v>
      </c>
      <c r="T58" s="25">
        <v>0</v>
      </c>
      <c r="U58" s="25">
        <v>0</v>
      </c>
    </row>
    <row r="59" spans="1:21" s="6" customFormat="1" ht="105" customHeight="1" x14ac:dyDescent="0.25">
      <c r="A59" s="23" t="s">
        <v>30</v>
      </c>
      <c r="B59" s="27" t="s">
        <v>67</v>
      </c>
      <c r="C59" s="25">
        <f t="shared" si="17"/>
        <v>1143000</v>
      </c>
      <c r="D59" s="25">
        <v>0</v>
      </c>
      <c r="E59" s="25">
        <v>0</v>
      </c>
      <c r="F59" s="25">
        <v>0</v>
      </c>
      <c r="G59" s="25">
        <v>0</v>
      </c>
      <c r="H59" s="25">
        <v>0</v>
      </c>
      <c r="I59" s="25">
        <v>0</v>
      </c>
      <c r="J59" s="25">
        <v>333000</v>
      </c>
      <c r="K59" s="25"/>
      <c r="L59" s="25"/>
      <c r="M59" s="25"/>
      <c r="N59" s="25"/>
      <c r="O59" s="25"/>
      <c r="P59" s="25"/>
      <c r="Q59" s="25">
        <f>290000+120000</f>
        <v>410000</v>
      </c>
      <c r="R59" s="25">
        <f>280000+120000</f>
        <v>400000</v>
      </c>
      <c r="S59" s="25">
        <v>0</v>
      </c>
      <c r="T59" s="25">
        <v>0</v>
      </c>
      <c r="U59" s="25">
        <v>0</v>
      </c>
    </row>
    <row r="60" spans="1:21" s="6" customFormat="1" ht="70.5" customHeight="1" x14ac:dyDescent="0.25">
      <c r="A60" s="23" t="s">
        <v>30</v>
      </c>
      <c r="B60" s="24" t="s">
        <v>68</v>
      </c>
      <c r="C60" s="25">
        <f>C61+C62+C63</f>
        <v>1800000</v>
      </c>
      <c r="D60" s="25">
        <f t="shared" ref="D60:U60" si="18">D61+D62+D63</f>
        <v>0</v>
      </c>
      <c r="E60" s="25">
        <f t="shared" si="18"/>
        <v>0</v>
      </c>
      <c r="F60" s="25">
        <f t="shared" si="18"/>
        <v>0</v>
      </c>
      <c r="G60" s="25">
        <f t="shared" si="18"/>
        <v>0</v>
      </c>
      <c r="H60" s="25">
        <f t="shared" si="18"/>
        <v>0</v>
      </c>
      <c r="I60" s="25">
        <f t="shared" si="18"/>
        <v>0</v>
      </c>
      <c r="J60" s="25">
        <f t="shared" si="18"/>
        <v>0</v>
      </c>
      <c r="K60" s="25">
        <f t="shared" si="18"/>
        <v>0</v>
      </c>
      <c r="L60" s="25">
        <f t="shared" si="18"/>
        <v>0</v>
      </c>
      <c r="M60" s="25">
        <f t="shared" si="18"/>
        <v>0</v>
      </c>
      <c r="N60" s="25">
        <f t="shared" si="18"/>
        <v>0</v>
      </c>
      <c r="O60" s="25">
        <f t="shared" si="18"/>
        <v>0</v>
      </c>
      <c r="P60" s="25">
        <f t="shared" si="18"/>
        <v>0</v>
      </c>
      <c r="Q60" s="25">
        <f t="shared" si="18"/>
        <v>0</v>
      </c>
      <c r="R60" s="25">
        <f t="shared" si="18"/>
        <v>0</v>
      </c>
      <c r="S60" s="25">
        <f t="shared" si="18"/>
        <v>400000</v>
      </c>
      <c r="T60" s="25">
        <f t="shared" si="18"/>
        <v>350000</v>
      </c>
      <c r="U60" s="25">
        <f t="shared" si="18"/>
        <v>1050000</v>
      </c>
    </row>
    <row r="61" spans="1:21" s="6" customFormat="1" ht="70.5" customHeight="1" x14ac:dyDescent="0.25">
      <c r="A61" s="23" t="s">
        <v>69</v>
      </c>
      <c r="B61" s="24" t="s">
        <v>70</v>
      </c>
      <c r="C61" s="25">
        <f>SUM(D61:U61)</f>
        <v>400000</v>
      </c>
      <c r="D61" s="25"/>
      <c r="E61" s="25"/>
      <c r="F61" s="25"/>
      <c r="G61" s="25"/>
      <c r="H61" s="25"/>
      <c r="I61" s="25"/>
      <c r="J61" s="25"/>
      <c r="K61" s="25"/>
      <c r="L61" s="25"/>
      <c r="M61" s="25"/>
      <c r="N61" s="25"/>
      <c r="O61" s="25"/>
      <c r="P61" s="25"/>
      <c r="Q61" s="25"/>
      <c r="R61" s="25"/>
      <c r="S61" s="25">
        <v>400000</v>
      </c>
      <c r="T61" s="25"/>
      <c r="U61" s="25"/>
    </row>
    <row r="62" spans="1:21" s="6" customFormat="1" ht="70.5" customHeight="1" x14ac:dyDescent="0.25">
      <c r="A62" s="23" t="s">
        <v>69</v>
      </c>
      <c r="B62" s="24" t="s">
        <v>22</v>
      </c>
      <c r="C62" s="25">
        <f>SUM(D62:U62)</f>
        <v>1050000</v>
      </c>
      <c r="D62" s="25"/>
      <c r="E62" s="25"/>
      <c r="F62" s="25"/>
      <c r="G62" s="25"/>
      <c r="H62" s="25"/>
      <c r="I62" s="25"/>
      <c r="J62" s="25"/>
      <c r="K62" s="25"/>
      <c r="L62" s="25"/>
      <c r="M62" s="25"/>
      <c r="N62" s="25"/>
      <c r="O62" s="25"/>
      <c r="P62" s="25"/>
      <c r="Q62" s="25"/>
      <c r="R62" s="25"/>
      <c r="S62" s="25"/>
      <c r="T62" s="25"/>
      <c r="U62" s="25">
        <f>1100000-50000</f>
        <v>1050000</v>
      </c>
    </row>
    <row r="63" spans="1:21" s="6" customFormat="1" ht="100.5" customHeight="1" x14ac:dyDescent="0.25">
      <c r="A63" s="23" t="s">
        <v>69</v>
      </c>
      <c r="B63" s="29" t="s">
        <v>82</v>
      </c>
      <c r="C63" s="25">
        <f>SUM(D63:U63)</f>
        <v>350000</v>
      </c>
      <c r="D63" s="25"/>
      <c r="E63" s="25"/>
      <c r="F63" s="25"/>
      <c r="G63" s="25"/>
      <c r="H63" s="25"/>
      <c r="I63" s="25"/>
      <c r="J63" s="25"/>
      <c r="K63" s="25"/>
      <c r="L63" s="25"/>
      <c r="M63" s="25"/>
      <c r="N63" s="25"/>
      <c r="O63" s="25"/>
      <c r="P63" s="25"/>
      <c r="Q63" s="25"/>
      <c r="R63" s="25"/>
      <c r="S63" s="25"/>
      <c r="T63" s="25">
        <v>350000</v>
      </c>
      <c r="U63" s="25"/>
    </row>
    <row r="64" spans="1:21" s="6" customFormat="1" ht="45.75" customHeight="1" x14ac:dyDescent="0.25">
      <c r="A64" s="23" t="s">
        <v>30</v>
      </c>
      <c r="B64" s="24" t="s">
        <v>170</v>
      </c>
      <c r="C64" s="25">
        <f>SUM(D64:U64)</f>
        <v>50000000</v>
      </c>
      <c r="D64" s="25">
        <v>10164000</v>
      </c>
      <c r="E64" s="25"/>
      <c r="F64" s="25"/>
      <c r="G64" s="25">
        <v>8179000</v>
      </c>
      <c r="H64" s="25"/>
      <c r="I64" s="25"/>
      <c r="J64" s="25">
        <v>2935000</v>
      </c>
      <c r="K64" s="25">
        <f>3774000-1226960</f>
        <v>2547040</v>
      </c>
      <c r="L64" s="25">
        <f>3040000+281200</f>
        <v>3321200</v>
      </c>
      <c r="M64" s="25">
        <f>4920000+132992</f>
        <v>5052992</v>
      </c>
      <c r="N64" s="25">
        <f>2081000-120074</f>
        <v>1960926</v>
      </c>
      <c r="O64" s="25">
        <v>5921000</v>
      </c>
      <c r="P64" s="25">
        <f>1319000+433550</f>
        <v>1752550</v>
      </c>
      <c r="Q64" s="25">
        <v>4537000</v>
      </c>
      <c r="R64" s="25">
        <f>3130000+499292</f>
        <v>3629292</v>
      </c>
      <c r="S64" s="25"/>
      <c r="T64" s="25"/>
      <c r="U64" s="25"/>
    </row>
    <row r="65" spans="1:21" s="6" customFormat="1" ht="56.25" customHeight="1" x14ac:dyDescent="0.25">
      <c r="A65" s="23" t="s">
        <v>30</v>
      </c>
      <c r="B65" s="117" t="s">
        <v>171</v>
      </c>
      <c r="C65" s="25">
        <f>SUM(D65:U65)</f>
        <v>2800000</v>
      </c>
      <c r="D65" s="25">
        <f>140000+60000</f>
        <v>200000</v>
      </c>
      <c r="E65" s="25">
        <v>20000</v>
      </c>
      <c r="F65" s="25"/>
      <c r="G65" s="25"/>
      <c r="H65" s="25"/>
      <c r="I65" s="25"/>
      <c r="J65" s="25">
        <f>203000+507000</f>
        <v>710000</v>
      </c>
      <c r="K65" s="25">
        <f>62000+3000</f>
        <v>65000</v>
      </c>
      <c r="L65" s="25">
        <f>95000+144000</f>
        <v>239000</v>
      </c>
      <c r="M65" s="25">
        <f>111000+328000</f>
        <v>439000</v>
      </c>
      <c r="N65" s="25">
        <f>279000+43000</f>
        <v>322000</v>
      </c>
      <c r="O65" s="25">
        <f>291000+171000</f>
        <v>462000</v>
      </c>
      <c r="P65" s="25">
        <f>71000+141000</f>
        <v>212000</v>
      </c>
      <c r="Q65" s="25">
        <f>65000+3000</f>
        <v>68000</v>
      </c>
      <c r="R65" s="25">
        <v>63000</v>
      </c>
      <c r="S65" s="25"/>
      <c r="T65" s="25"/>
      <c r="U65" s="25"/>
    </row>
    <row r="66" spans="1:21" s="6" customFormat="1" ht="49.5" x14ac:dyDescent="0.25">
      <c r="A66" s="23" t="s">
        <v>30</v>
      </c>
      <c r="B66" s="90" t="s">
        <v>175</v>
      </c>
      <c r="C66" s="25">
        <f t="shared" ref="C66:C72" si="19">SUM(D66:U66)</f>
        <v>478000</v>
      </c>
      <c r="D66" s="25"/>
      <c r="E66" s="25"/>
      <c r="F66" s="25"/>
      <c r="G66" s="25"/>
      <c r="H66" s="25"/>
      <c r="I66" s="25"/>
      <c r="J66" s="25"/>
      <c r="K66" s="25"/>
      <c r="L66" s="25">
        <v>89203</v>
      </c>
      <c r="M66" s="25"/>
      <c r="N66" s="25"/>
      <c r="O66" s="25"/>
      <c r="P66" s="25">
        <v>264611</v>
      </c>
      <c r="Q66" s="25">
        <v>124186</v>
      </c>
      <c r="R66" s="25"/>
      <c r="S66" s="25"/>
      <c r="T66" s="25"/>
      <c r="U66" s="25"/>
    </row>
    <row r="67" spans="1:21" s="6" customFormat="1" ht="73.5" customHeight="1" x14ac:dyDescent="0.25">
      <c r="A67" s="23" t="s">
        <v>30</v>
      </c>
      <c r="B67" s="91" t="s">
        <v>176</v>
      </c>
      <c r="C67" s="25">
        <f t="shared" si="19"/>
        <v>120000</v>
      </c>
      <c r="D67" s="25"/>
      <c r="E67" s="25"/>
      <c r="F67" s="25"/>
      <c r="G67" s="25"/>
      <c r="H67" s="25"/>
      <c r="I67" s="25"/>
      <c r="J67" s="25"/>
      <c r="K67" s="25"/>
      <c r="L67" s="25"/>
      <c r="M67" s="25"/>
      <c r="N67" s="25"/>
      <c r="O67" s="25">
        <v>43170</v>
      </c>
      <c r="P67" s="25">
        <v>34555</v>
      </c>
      <c r="Q67" s="25"/>
      <c r="R67" s="25">
        <v>42275</v>
      </c>
      <c r="S67" s="25"/>
      <c r="T67" s="25"/>
      <c r="U67" s="25"/>
    </row>
    <row r="68" spans="1:21" s="6" customFormat="1" ht="87" customHeight="1" x14ac:dyDescent="0.25">
      <c r="A68" s="23" t="s">
        <v>30</v>
      </c>
      <c r="B68" s="91" t="s">
        <v>177</v>
      </c>
      <c r="C68" s="25">
        <f t="shared" si="19"/>
        <v>51000</v>
      </c>
      <c r="D68" s="25"/>
      <c r="E68" s="25"/>
      <c r="F68" s="25"/>
      <c r="G68" s="25"/>
      <c r="H68" s="25"/>
      <c r="I68" s="25"/>
      <c r="J68" s="25"/>
      <c r="K68" s="25"/>
      <c r="L68" s="25">
        <v>51000</v>
      </c>
      <c r="M68" s="25"/>
      <c r="N68" s="25"/>
      <c r="O68" s="25"/>
      <c r="P68" s="25"/>
      <c r="Q68" s="25"/>
      <c r="R68" s="25"/>
      <c r="S68" s="25"/>
      <c r="T68" s="25"/>
      <c r="U68" s="25"/>
    </row>
    <row r="69" spans="1:21" s="6" customFormat="1" ht="85.5" customHeight="1" x14ac:dyDescent="0.25">
      <c r="A69" s="23" t="s">
        <v>30</v>
      </c>
      <c r="B69" s="90" t="s">
        <v>181</v>
      </c>
      <c r="C69" s="25">
        <f t="shared" si="19"/>
        <v>509797</v>
      </c>
      <c r="D69" s="25"/>
      <c r="E69" s="25"/>
      <c r="F69" s="25"/>
      <c r="G69" s="25"/>
      <c r="H69" s="25"/>
      <c r="I69" s="25"/>
      <c r="J69" s="25">
        <v>462797</v>
      </c>
      <c r="K69" s="25">
        <v>47000</v>
      </c>
      <c r="L69" s="25"/>
      <c r="M69" s="25"/>
      <c r="N69" s="25"/>
      <c r="O69" s="25"/>
      <c r="P69" s="25"/>
      <c r="Q69" s="25"/>
      <c r="R69" s="25"/>
      <c r="S69" s="25"/>
      <c r="T69" s="25"/>
      <c r="U69" s="25"/>
    </row>
    <row r="70" spans="1:21" s="6" customFormat="1" ht="93" customHeight="1" x14ac:dyDescent="0.25">
      <c r="A70" s="23" t="s">
        <v>30</v>
      </c>
      <c r="B70" s="90" t="s">
        <v>182</v>
      </c>
      <c r="C70" s="25">
        <f t="shared" si="19"/>
        <v>8504000</v>
      </c>
      <c r="D70" s="25"/>
      <c r="E70" s="25"/>
      <c r="F70" s="25"/>
      <c r="G70" s="25"/>
      <c r="H70" s="25"/>
      <c r="I70" s="25"/>
      <c r="J70" s="25">
        <v>6357000</v>
      </c>
      <c r="K70" s="25">
        <v>2147000</v>
      </c>
      <c r="L70" s="25"/>
      <c r="M70" s="25"/>
      <c r="N70" s="25"/>
      <c r="O70" s="25"/>
      <c r="P70" s="25"/>
      <c r="Q70" s="25"/>
      <c r="R70" s="25"/>
      <c r="S70" s="25"/>
      <c r="T70" s="25"/>
      <c r="U70" s="25"/>
    </row>
    <row r="71" spans="1:21" s="6" customFormat="1" ht="56.25" customHeight="1" x14ac:dyDescent="0.25">
      <c r="A71" s="23" t="s">
        <v>30</v>
      </c>
      <c r="B71" s="26" t="s">
        <v>173</v>
      </c>
      <c r="C71" s="25">
        <f t="shared" si="19"/>
        <v>33322</v>
      </c>
      <c r="D71" s="25"/>
      <c r="E71" s="25"/>
      <c r="F71" s="25"/>
      <c r="G71" s="25"/>
      <c r="H71" s="25"/>
      <c r="I71" s="25"/>
      <c r="J71" s="25"/>
      <c r="K71" s="89">
        <v>33322</v>
      </c>
      <c r="L71" s="25"/>
      <c r="M71" s="25"/>
      <c r="N71" s="25"/>
      <c r="O71" s="25"/>
      <c r="P71" s="25"/>
      <c r="Q71" s="25"/>
      <c r="R71" s="25"/>
      <c r="S71" s="25"/>
      <c r="T71" s="25"/>
      <c r="U71" s="25"/>
    </row>
    <row r="72" spans="1:21" s="6" customFormat="1" ht="222.75" customHeight="1" x14ac:dyDescent="0.25">
      <c r="A72" s="23" t="s">
        <v>30</v>
      </c>
      <c r="B72" s="90" t="s">
        <v>174</v>
      </c>
      <c r="C72" s="25">
        <f t="shared" si="19"/>
        <v>400000</v>
      </c>
      <c r="D72" s="25">
        <v>400000</v>
      </c>
      <c r="E72" s="25"/>
      <c r="F72" s="25"/>
      <c r="G72" s="25"/>
      <c r="H72" s="25"/>
      <c r="I72" s="25"/>
      <c r="J72" s="25"/>
      <c r="K72" s="25"/>
      <c r="L72" s="25"/>
      <c r="M72" s="25"/>
      <c r="N72" s="25"/>
      <c r="O72" s="25"/>
      <c r="P72" s="25"/>
      <c r="Q72" s="25"/>
      <c r="R72" s="25"/>
      <c r="S72" s="25"/>
      <c r="T72" s="25"/>
      <c r="U72" s="25"/>
    </row>
    <row r="73" spans="1:21" s="3" customFormat="1" ht="42.75" customHeight="1" x14ac:dyDescent="0.25">
      <c r="A73" s="17" t="s">
        <v>42</v>
      </c>
      <c r="B73" s="18" t="s">
        <v>71</v>
      </c>
      <c r="C73" s="19">
        <f t="shared" ref="C73:U73" si="20">C74+C75</f>
        <v>267231005</v>
      </c>
      <c r="D73" s="19">
        <f t="shared" si="20"/>
        <v>25031000</v>
      </c>
      <c r="E73" s="19">
        <f t="shared" si="20"/>
        <v>0</v>
      </c>
      <c r="F73" s="19">
        <f t="shared" si="20"/>
        <v>0</v>
      </c>
      <c r="G73" s="19">
        <f t="shared" si="20"/>
        <v>10717798</v>
      </c>
      <c r="H73" s="19">
        <f t="shared" si="20"/>
        <v>1569000</v>
      </c>
      <c r="I73" s="19">
        <f t="shared" si="20"/>
        <v>1595992</v>
      </c>
      <c r="J73" s="19">
        <f t="shared" si="20"/>
        <v>0</v>
      </c>
      <c r="K73" s="19">
        <f t="shared" si="20"/>
        <v>12237878</v>
      </c>
      <c r="L73" s="19">
        <f t="shared" si="20"/>
        <v>36312291</v>
      </c>
      <c r="M73" s="19">
        <f t="shared" si="20"/>
        <v>36284900</v>
      </c>
      <c r="N73" s="19">
        <f t="shared" si="20"/>
        <v>31848636</v>
      </c>
      <c r="O73" s="19">
        <f t="shared" si="20"/>
        <v>31585984</v>
      </c>
      <c r="P73" s="19">
        <f t="shared" si="20"/>
        <v>26841876</v>
      </c>
      <c r="Q73" s="19">
        <f t="shared" si="20"/>
        <v>26877128</v>
      </c>
      <c r="R73" s="19">
        <f t="shared" si="20"/>
        <v>26328522</v>
      </c>
      <c r="S73" s="19">
        <f t="shared" si="20"/>
        <v>0</v>
      </c>
      <c r="T73" s="19">
        <f t="shared" si="20"/>
        <v>0</v>
      </c>
      <c r="U73" s="19">
        <f t="shared" si="20"/>
        <v>0</v>
      </c>
    </row>
    <row r="74" spans="1:21" s="4" customFormat="1" ht="42.75" customHeight="1" x14ac:dyDescent="0.25">
      <c r="A74" s="20" t="s">
        <v>37</v>
      </c>
      <c r="B74" s="21" t="s">
        <v>48</v>
      </c>
      <c r="C74" s="22"/>
      <c r="D74" s="22"/>
      <c r="E74" s="22"/>
      <c r="F74" s="22"/>
      <c r="G74" s="22"/>
      <c r="H74" s="22"/>
      <c r="I74" s="22"/>
      <c r="J74" s="22"/>
      <c r="K74" s="22"/>
      <c r="L74" s="22"/>
      <c r="M74" s="22"/>
      <c r="N74" s="22"/>
      <c r="O74" s="22"/>
      <c r="P74" s="22"/>
      <c r="Q74" s="22"/>
      <c r="R74" s="22"/>
      <c r="S74" s="22"/>
      <c r="T74" s="22"/>
      <c r="U74" s="22"/>
    </row>
    <row r="75" spans="1:21" s="4" customFormat="1" ht="42.75" customHeight="1" x14ac:dyDescent="0.25">
      <c r="A75" s="20" t="s">
        <v>40</v>
      </c>
      <c r="B75" s="21" t="s">
        <v>49</v>
      </c>
      <c r="C75" s="22">
        <f>SUM(C76:C95)</f>
        <v>267231005</v>
      </c>
      <c r="D75" s="22">
        <f t="shared" ref="D75:T75" si="21">SUM(D76:D95)</f>
        <v>25031000</v>
      </c>
      <c r="E75" s="22">
        <f t="shared" si="21"/>
        <v>0</v>
      </c>
      <c r="F75" s="22">
        <f t="shared" si="21"/>
        <v>0</v>
      </c>
      <c r="G75" s="22">
        <f t="shared" si="21"/>
        <v>10717798</v>
      </c>
      <c r="H75" s="22">
        <f t="shared" si="21"/>
        <v>1569000</v>
      </c>
      <c r="I75" s="22">
        <f t="shared" si="21"/>
        <v>1595992</v>
      </c>
      <c r="J75" s="22">
        <f t="shared" si="21"/>
        <v>0</v>
      </c>
      <c r="K75" s="22">
        <f t="shared" si="21"/>
        <v>12237878</v>
      </c>
      <c r="L75" s="22">
        <f t="shared" si="21"/>
        <v>36312291</v>
      </c>
      <c r="M75" s="22">
        <f t="shared" si="21"/>
        <v>36284900</v>
      </c>
      <c r="N75" s="22">
        <f t="shared" si="21"/>
        <v>31848636</v>
      </c>
      <c r="O75" s="22">
        <f t="shared" si="21"/>
        <v>31585984</v>
      </c>
      <c r="P75" s="22">
        <f t="shared" si="21"/>
        <v>26841876</v>
      </c>
      <c r="Q75" s="22">
        <f t="shared" si="21"/>
        <v>26877128</v>
      </c>
      <c r="R75" s="22">
        <f t="shared" si="21"/>
        <v>26328522</v>
      </c>
      <c r="S75" s="22">
        <f t="shared" si="21"/>
        <v>0</v>
      </c>
      <c r="T75" s="22">
        <f t="shared" si="21"/>
        <v>0</v>
      </c>
      <c r="U75" s="22">
        <f>SUM(U76:U95)</f>
        <v>0</v>
      </c>
    </row>
    <row r="76" spans="1:21" s="6" customFormat="1" ht="84.75" customHeight="1" x14ac:dyDescent="0.25">
      <c r="A76" s="23" t="s">
        <v>30</v>
      </c>
      <c r="B76" s="26" t="s">
        <v>72</v>
      </c>
      <c r="C76" s="25">
        <f t="shared" ref="C76:C99" si="22">SUM(D76:U76)</f>
        <v>90050000</v>
      </c>
      <c r="D76" s="25">
        <v>1786000</v>
      </c>
      <c r="E76" s="25"/>
      <c r="F76" s="25"/>
      <c r="G76" s="25">
        <f>9657000+180000</f>
        <v>9837000</v>
      </c>
      <c r="H76" s="25">
        <f>1565000+4000</f>
        <v>1569000</v>
      </c>
      <c r="I76" s="25">
        <f>1581000+4000</f>
        <v>1585000</v>
      </c>
      <c r="J76" s="25"/>
      <c r="K76" s="25"/>
      <c r="L76" s="25">
        <f>9613000+59000</f>
        <v>9672000</v>
      </c>
      <c r="M76" s="25">
        <f>11815000+76000</f>
        <v>11891000</v>
      </c>
      <c r="N76" s="25">
        <f>11783000+105000</f>
        <v>11888000</v>
      </c>
      <c r="O76" s="25">
        <f>9584000+74000</f>
        <v>9658000</v>
      </c>
      <c r="P76" s="25">
        <f>8979000+62000</f>
        <v>9041000</v>
      </c>
      <c r="Q76" s="25">
        <f>12232000+43000</f>
        <v>12275000</v>
      </c>
      <c r="R76" s="25">
        <f>10812000+36000</f>
        <v>10848000</v>
      </c>
      <c r="S76" s="25"/>
      <c r="T76" s="25"/>
      <c r="U76" s="25"/>
    </row>
    <row r="77" spans="1:21" s="6" customFormat="1" ht="83.25" customHeight="1" x14ac:dyDescent="0.25">
      <c r="A77" s="23" t="s">
        <v>30</v>
      </c>
      <c r="B77" s="26" t="s">
        <v>114</v>
      </c>
      <c r="C77" s="25">
        <f t="shared" si="22"/>
        <v>71008000</v>
      </c>
      <c r="D77" s="25">
        <v>221000</v>
      </c>
      <c r="E77" s="25"/>
      <c r="F77" s="25"/>
      <c r="G77" s="25"/>
      <c r="H77" s="25"/>
      <c r="I77" s="25"/>
      <c r="J77" s="25"/>
      <c r="K77" s="25">
        <f>6637000+9000</f>
        <v>6646000</v>
      </c>
      <c r="L77" s="25">
        <f>11964000+15000</f>
        <v>11979000</v>
      </c>
      <c r="M77" s="25">
        <f>11151000+12000</f>
        <v>11163000</v>
      </c>
      <c r="N77" s="25">
        <f>9146000+14000</f>
        <v>9160000</v>
      </c>
      <c r="O77" s="25">
        <f>8501000+10000</f>
        <v>8511000</v>
      </c>
      <c r="P77" s="25">
        <f>8454000+11000</f>
        <v>8465000</v>
      </c>
      <c r="Q77" s="25">
        <f>7584000+9000</f>
        <v>7593000</v>
      </c>
      <c r="R77" s="25">
        <f>7263000+7000</f>
        <v>7270000</v>
      </c>
      <c r="S77" s="25"/>
      <c r="T77" s="25"/>
      <c r="U77" s="25"/>
    </row>
    <row r="78" spans="1:21" s="6" customFormat="1" ht="45.75" customHeight="1" x14ac:dyDescent="0.25">
      <c r="A78" s="23" t="s">
        <v>30</v>
      </c>
      <c r="B78" s="24" t="s">
        <v>73</v>
      </c>
      <c r="C78" s="25">
        <f t="shared" si="22"/>
        <v>4396000</v>
      </c>
      <c r="D78" s="25"/>
      <c r="E78" s="25"/>
      <c r="F78" s="25"/>
      <c r="G78" s="25"/>
      <c r="H78" s="25"/>
      <c r="I78" s="25"/>
      <c r="J78" s="25"/>
      <c r="K78" s="25">
        <v>257000</v>
      </c>
      <c r="L78" s="25">
        <v>559644</v>
      </c>
      <c r="M78" s="25">
        <v>759900</v>
      </c>
      <c r="N78" s="25">
        <v>557636</v>
      </c>
      <c r="O78" s="25">
        <v>657984</v>
      </c>
      <c r="P78" s="25">
        <v>405876</v>
      </c>
      <c r="Q78" s="25">
        <v>545340</v>
      </c>
      <c r="R78" s="25">
        <v>652620</v>
      </c>
      <c r="S78" s="25"/>
      <c r="T78" s="25"/>
      <c r="U78" s="25"/>
    </row>
    <row r="79" spans="1:21" s="6" customFormat="1" ht="65.25" customHeight="1" x14ac:dyDescent="0.25">
      <c r="A79" s="23" t="s">
        <v>30</v>
      </c>
      <c r="B79" s="24" t="s">
        <v>74</v>
      </c>
      <c r="C79" s="25">
        <f t="shared" si="22"/>
        <v>240000</v>
      </c>
      <c r="D79" s="25"/>
      <c r="E79" s="25"/>
      <c r="F79" s="25"/>
      <c r="G79" s="25"/>
      <c r="H79" s="25"/>
      <c r="I79" s="25"/>
      <c r="J79" s="25"/>
      <c r="K79" s="25">
        <v>240000</v>
      </c>
      <c r="L79" s="25"/>
      <c r="M79" s="25"/>
      <c r="N79" s="25"/>
      <c r="O79" s="25"/>
      <c r="P79" s="25"/>
      <c r="Q79" s="25"/>
      <c r="R79" s="25"/>
      <c r="S79" s="25"/>
      <c r="T79" s="25"/>
      <c r="U79" s="25"/>
    </row>
    <row r="80" spans="1:21" s="6" customFormat="1" ht="154.5" customHeight="1" x14ac:dyDescent="0.25">
      <c r="A80" s="23" t="s">
        <v>30</v>
      </c>
      <c r="B80" s="24" t="s">
        <v>111</v>
      </c>
      <c r="C80" s="25">
        <f t="shared" si="22"/>
        <v>291000</v>
      </c>
      <c r="D80" s="25">
        <v>291000</v>
      </c>
      <c r="E80" s="25"/>
      <c r="F80" s="25"/>
      <c r="G80" s="25"/>
      <c r="H80" s="25"/>
      <c r="I80" s="25"/>
      <c r="J80" s="25"/>
      <c r="K80" s="25"/>
      <c r="L80" s="25"/>
      <c r="M80" s="25"/>
      <c r="N80" s="25"/>
      <c r="O80" s="25"/>
      <c r="P80" s="25"/>
      <c r="Q80" s="25"/>
      <c r="R80" s="25"/>
      <c r="S80" s="25"/>
      <c r="T80" s="25"/>
      <c r="U80" s="25"/>
    </row>
    <row r="81" spans="1:21" s="6" customFormat="1" ht="170.25" customHeight="1" x14ac:dyDescent="0.25">
      <c r="A81" s="23" t="s">
        <v>30</v>
      </c>
      <c r="B81" s="28" t="s">
        <v>75</v>
      </c>
      <c r="C81" s="25">
        <f t="shared" si="22"/>
        <v>34000</v>
      </c>
      <c r="D81" s="25">
        <v>34000</v>
      </c>
      <c r="E81" s="25"/>
      <c r="F81" s="25"/>
      <c r="G81" s="25"/>
      <c r="H81" s="25"/>
      <c r="I81" s="25"/>
      <c r="J81" s="25"/>
      <c r="K81" s="25"/>
      <c r="L81" s="25"/>
      <c r="M81" s="25"/>
      <c r="N81" s="25"/>
      <c r="O81" s="25"/>
      <c r="P81" s="25"/>
      <c r="Q81" s="25"/>
      <c r="R81" s="25"/>
      <c r="S81" s="25"/>
      <c r="T81" s="25"/>
      <c r="U81" s="25"/>
    </row>
    <row r="82" spans="1:21" s="6" customFormat="1" ht="159" customHeight="1" x14ac:dyDescent="0.25">
      <c r="A82" s="23" t="s">
        <v>30</v>
      </c>
      <c r="B82" s="28" t="s">
        <v>112</v>
      </c>
      <c r="C82" s="25">
        <f t="shared" si="22"/>
        <v>1800000</v>
      </c>
      <c r="D82" s="25"/>
      <c r="E82" s="25"/>
      <c r="F82" s="25"/>
      <c r="G82" s="25"/>
      <c r="H82" s="25"/>
      <c r="I82" s="25"/>
      <c r="J82" s="25"/>
      <c r="K82" s="25"/>
      <c r="L82" s="25">
        <v>350000</v>
      </c>
      <c r="M82" s="25">
        <v>300000</v>
      </c>
      <c r="N82" s="25">
        <v>200000</v>
      </c>
      <c r="O82" s="25">
        <v>300000</v>
      </c>
      <c r="P82" s="25">
        <v>350000</v>
      </c>
      <c r="Q82" s="25">
        <v>150000</v>
      </c>
      <c r="R82" s="25">
        <v>150000</v>
      </c>
      <c r="S82" s="25"/>
      <c r="T82" s="25"/>
      <c r="U82" s="25"/>
    </row>
    <row r="83" spans="1:21" s="6" customFormat="1" ht="65.25" customHeight="1" x14ac:dyDescent="0.25">
      <c r="A83" s="23" t="s">
        <v>30</v>
      </c>
      <c r="B83" s="24" t="s">
        <v>76</v>
      </c>
      <c r="C83" s="25">
        <f t="shared" si="22"/>
        <v>22500000</v>
      </c>
      <c r="D83" s="25">
        <f>22500000-88000</f>
        <v>22412000</v>
      </c>
      <c r="E83" s="25"/>
      <c r="F83" s="25"/>
      <c r="G83" s="25">
        <v>88000</v>
      </c>
      <c r="H83" s="25"/>
      <c r="I83" s="25"/>
      <c r="J83" s="25"/>
      <c r="K83" s="25"/>
      <c r="L83" s="25"/>
      <c r="M83" s="25"/>
      <c r="N83" s="25"/>
      <c r="O83" s="25"/>
      <c r="P83" s="25"/>
      <c r="Q83" s="25"/>
      <c r="R83" s="25"/>
      <c r="S83" s="25"/>
      <c r="T83" s="25"/>
      <c r="U83" s="25"/>
    </row>
    <row r="84" spans="1:21" s="6" customFormat="1" ht="65.25" customHeight="1" x14ac:dyDescent="0.25">
      <c r="A84" s="23" t="s">
        <v>30</v>
      </c>
      <c r="B84" s="24" t="s">
        <v>77</v>
      </c>
      <c r="C84" s="25">
        <f t="shared" si="22"/>
        <v>405000</v>
      </c>
      <c r="D84" s="25"/>
      <c r="E84" s="25"/>
      <c r="F84" s="25"/>
      <c r="G84" s="25"/>
      <c r="H84" s="25"/>
      <c r="I84" s="25"/>
      <c r="J84" s="25"/>
      <c r="K84" s="25"/>
      <c r="L84" s="25"/>
      <c r="M84" s="25"/>
      <c r="N84" s="25">
        <v>405000</v>
      </c>
      <c r="O84" s="25"/>
      <c r="P84" s="25"/>
      <c r="Q84" s="25"/>
      <c r="R84" s="25"/>
      <c r="S84" s="25"/>
      <c r="T84" s="25"/>
      <c r="U84" s="25"/>
    </row>
    <row r="85" spans="1:21" s="6" customFormat="1" ht="65.25" customHeight="1" x14ac:dyDescent="0.25">
      <c r="A85" s="23" t="s">
        <v>30</v>
      </c>
      <c r="B85" s="24" t="s">
        <v>78</v>
      </c>
      <c r="C85" s="25">
        <f t="shared" si="22"/>
        <v>900000</v>
      </c>
      <c r="D85" s="25"/>
      <c r="E85" s="25"/>
      <c r="F85" s="25"/>
      <c r="G85" s="25"/>
      <c r="H85" s="25"/>
      <c r="I85" s="25"/>
      <c r="J85" s="25"/>
      <c r="K85" s="25">
        <v>90000</v>
      </c>
      <c r="L85" s="25">
        <v>150000</v>
      </c>
      <c r="M85" s="25">
        <v>120000</v>
      </c>
      <c r="N85" s="25">
        <v>150000</v>
      </c>
      <c r="O85" s="25">
        <v>120000</v>
      </c>
      <c r="P85" s="25">
        <v>90000</v>
      </c>
      <c r="Q85" s="25">
        <v>90000</v>
      </c>
      <c r="R85" s="25">
        <v>90000</v>
      </c>
      <c r="S85" s="25"/>
      <c r="T85" s="25"/>
      <c r="U85" s="25"/>
    </row>
    <row r="86" spans="1:21" s="6" customFormat="1" ht="105" customHeight="1" x14ac:dyDescent="0.25">
      <c r="A86" s="23" t="s">
        <v>30</v>
      </c>
      <c r="B86" s="24" t="s">
        <v>113</v>
      </c>
      <c r="C86" s="25">
        <f t="shared" si="22"/>
        <v>840000</v>
      </c>
      <c r="D86" s="25"/>
      <c r="E86" s="25"/>
      <c r="F86" s="25"/>
      <c r="G86" s="25">
        <v>150000</v>
      </c>
      <c r="H86" s="25"/>
      <c r="I86" s="25"/>
      <c r="J86" s="25"/>
      <c r="K86" s="25">
        <v>40000</v>
      </c>
      <c r="L86" s="25">
        <v>100000</v>
      </c>
      <c r="M86" s="25">
        <v>100000</v>
      </c>
      <c r="N86" s="25">
        <v>100000</v>
      </c>
      <c r="O86" s="25">
        <v>100000</v>
      </c>
      <c r="P86" s="25">
        <v>100000</v>
      </c>
      <c r="Q86" s="25">
        <v>75000</v>
      </c>
      <c r="R86" s="25">
        <v>75000</v>
      </c>
      <c r="S86" s="25"/>
      <c r="T86" s="25"/>
      <c r="U86" s="25"/>
    </row>
    <row r="87" spans="1:21" s="6" customFormat="1" ht="65.25" customHeight="1" x14ac:dyDescent="0.25">
      <c r="A87" s="23" t="s">
        <v>30</v>
      </c>
      <c r="B87" s="24" t="s">
        <v>116</v>
      </c>
      <c r="C87" s="25">
        <f t="shared" si="22"/>
        <v>176000</v>
      </c>
      <c r="D87" s="25">
        <v>36000</v>
      </c>
      <c r="E87" s="25"/>
      <c r="F87" s="25"/>
      <c r="G87" s="25">
        <v>140000</v>
      </c>
      <c r="H87" s="25"/>
      <c r="I87" s="25"/>
      <c r="J87" s="25"/>
      <c r="K87" s="25"/>
      <c r="L87" s="25"/>
      <c r="M87" s="25"/>
      <c r="N87" s="25"/>
      <c r="O87" s="25"/>
      <c r="P87" s="25"/>
      <c r="Q87" s="25"/>
      <c r="R87" s="25"/>
      <c r="S87" s="25"/>
      <c r="T87" s="25"/>
      <c r="U87" s="25"/>
    </row>
    <row r="88" spans="1:21" s="6" customFormat="1" ht="65.25" customHeight="1" x14ac:dyDescent="0.25">
      <c r="A88" s="23" t="s">
        <v>30</v>
      </c>
      <c r="B88" s="117" t="s">
        <v>169</v>
      </c>
      <c r="C88" s="25">
        <f t="shared" si="22"/>
        <v>1041000</v>
      </c>
      <c r="D88" s="25"/>
      <c r="E88" s="25"/>
      <c r="F88" s="25"/>
      <c r="G88" s="25">
        <v>170000</v>
      </c>
      <c r="H88" s="25"/>
      <c r="I88" s="25"/>
      <c r="J88" s="25"/>
      <c r="K88" s="25">
        <v>92000</v>
      </c>
      <c r="L88" s="25">
        <v>100000</v>
      </c>
      <c r="M88" s="25">
        <v>100000</v>
      </c>
      <c r="N88" s="25">
        <v>190000</v>
      </c>
      <c r="O88" s="25">
        <v>99000</v>
      </c>
      <c r="P88" s="25">
        <v>92000</v>
      </c>
      <c r="Q88" s="25">
        <v>99000</v>
      </c>
      <c r="R88" s="25">
        <v>99000</v>
      </c>
      <c r="S88" s="25"/>
      <c r="T88" s="25"/>
      <c r="U88" s="25"/>
    </row>
    <row r="89" spans="1:21" s="6" customFormat="1" ht="65.25" customHeight="1" x14ac:dyDescent="0.25">
      <c r="A89" s="23" t="s">
        <v>30</v>
      </c>
      <c r="B89" s="118" t="s">
        <v>178</v>
      </c>
      <c r="C89" s="25">
        <f t="shared" si="22"/>
        <v>169000</v>
      </c>
      <c r="D89" s="25">
        <v>169000</v>
      </c>
      <c r="E89" s="25"/>
      <c r="F89" s="25"/>
      <c r="G89" s="25"/>
      <c r="H89" s="25"/>
      <c r="I89" s="25"/>
      <c r="J89" s="25"/>
      <c r="K89" s="25"/>
      <c r="L89" s="25"/>
      <c r="M89" s="25"/>
      <c r="N89" s="25"/>
      <c r="O89" s="25"/>
      <c r="P89" s="25"/>
      <c r="Q89" s="25"/>
      <c r="R89" s="25"/>
      <c r="S89" s="25"/>
      <c r="T89" s="25"/>
      <c r="U89" s="25"/>
    </row>
    <row r="90" spans="1:21" s="6" customFormat="1" ht="65.25" customHeight="1" x14ac:dyDescent="0.25">
      <c r="A90" s="23" t="s">
        <v>30</v>
      </c>
      <c r="B90" s="119" t="s">
        <v>179</v>
      </c>
      <c r="C90" s="25">
        <f t="shared" si="22"/>
        <v>82000</v>
      </c>
      <c r="D90" s="25">
        <v>82000</v>
      </c>
      <c r="E90" s="25"/>
      <c r="F90" s="25"/>
      <c r="G90" s="25"/>
      <c r="H90" s="25"/>
      <c r="I90" s="25"/>
      <c r="J90" s="25"/>
      <c r="K90" s="25"/>
      <c r="L90" s="25"/>
      <c r="M90" s="25"/>
      <c r="N90" s="25"/>
      <c r="O90" s="25"/>
      <c r="P90" s="25"/>
      <c r="Q90" s="25"/>
      <c r="R90" s="25"/>
      <c r="S90" s="25"/>
      <c r="T90" s="25"/>
      <c r="U90" s="25"/>
    </row>
    <row r="91" spans="1:21" s="6" customFormat="1" ht="65.25" customHeight="1" x14ac:dyDescent="0.25">
      <c r="A91" s="23" t="s">
        <v>30</v>
      </c>
      <c r="B91" s="90" t="s">
        <v>180</v>
      </c>
      <c r="C91" s="25">
        <f t="shared" si="22"/>
        <v>312000</v>
      </c>
      <c r="D91" s="25"/>
      <c r="E91" s="25"/>
      <c r="F91" s="25"/>
      <c r="G91" s="25">
        <v>312000</v>
      </c>
      <c r="H91" s="25"/>
      <c r="I91" s="25"/>
      <c r="J91" s="25"/>
      <c r="K91" s="25"/>
      <c r="L91" s="25"/>
      <c r="M91" s="25"/>
      <c r="N91" s="25"/>
      <c r="O91" s="25"/>
      <c r="P91" s="25"/>
      <c r="Q91" s="25"/>
      <c r="R91" s="25"/>
      <c r="S91" s="25"/>
      <c r="T91" s="25"/>
      <c r="U91" s="25"/>
    </row>
    <row r="92" spans="1:21" s="6" customFormat="1" ht="87" customHeight="1" x14ac:dyDescent="0.25">
      <c r="A92" s="23" t="s">
        <v>30</v>
      </c>
      <c r="B92" s="90" t="s">
        <v>181</v>
      </c>
      <c r="C92" s="25">
        <f t="shared" si="22"/>
        <v>6658207</v>
      </c>
      <c r="D92" s="25"/>
      <c r="E92" s="25"/>
      <c r="F92" s="25"/>
      <c r="G92" s="25"/>
      <c r="H92" s="25"/>
      <c r="I92" s="25">
        <v>10992</v>
      </c>
      <c r="J92" s="25"/>
      <c r="K92" s="25">
        <v>649878</v>
      </c>
      <c r="L92" s="25">
        <v>2759647</v>
      </c>
      <c r="M92" s="25"/>
      <c r="N92" s="25"/>
      <c r="O92" s="25"/>
      <c r="P92" s="25"/>
      <c r="Q92" s="25">
        <v>1678788</v>
      </c>
      <c r="R92" s="25">
        <v>1558902</v>
      </c>
      <c r="S92" s="25"/>
      <c r="T92" s="25"/>
      <c r="U92" s="25"/>
    </row>
    <row r="93" spans="1:21" s="6" customFormat="1" ht="87" customHeight="1" x14ac:dyDescent="0.25">
      <c r="A93" s="23" t="s">
        <v>30</v>
      </c>
      <c r="B93" s="90" t="s">
        <v>182</v>
      </c>
      <c r="C93" s="25">
        <f t="shared" si="22"/>
        <v>66308000</v>
      </c>
      <c r="D93" s="25"/>
      <c r="E93" s="25"/>
      <c r="F93" s="25"/>
      <c r="G93" s="25"/>
      <c r="H93" s="25"/>
      <c r="I93" s="25"/>
      <c r="J93" s="25"/>
      <c r="K93" s="25">
        <v>4223000</v>
      </c>
      <c r="L93" s="25">
        <v>10642000</v>
      </c>
      <c r="M93" s="25">
        <v>11851000</v>
      </c>
      <c r="N93" s="25">
        <v>9198000</v>
      </c>
      <c r="O93" s="25">
        <v>12140000</v>
      </c>
      <c r="P93" s="25">
        <v>8298000</v>
      </c>
      <c r="Q93" s="25">
        <v>4371000</v>
      </c>
      <c r="R93" s="25">
        <v>5585000</v>
      </c>
      <c r="S93" s="25"/>
      <c r="T93" s="25"/>
      <c r="U93" s="25"/>
    </row>
    <row r="94" spans="1:21" s="6" customFormat="1" ht="65.25" customHeight="1" x14ac:dyDescent="0.25">
      <c r="A94" s="23" t="s">
        <v>30</v>
      </c>
      <c r="B94" s="26" t="s">
        <v>173</v>
      </c>
      <c r="C94" s="25">
        <f t="shared" si="22"/>
        <v>20798</v>
      </c>
      <c r="D94" s="25"/>
      <c r="E94" s="25"/>
      <c r="F94" s="25"/>
      <c r="G94" s="89">
        <v>20798</v>
      </c>
      <c r="H94" s="25"/>
      <c r="I94" s="25"/>
      <c r="J94" s="25"/>
      <c r="K94" s="25"/>
      <c r="L94" s="25"/>
      <c r="M94" s="25"/>
      <c r="N94" s="25"/>
      <c r="O94" s="25"/>
      <c r="P94" s="25"/>
      <c r="Q94" s="25"/>
      <c r="R94" s="25"/>
      <c r="S94" s="25"/>
      <c r="T94" s="25"/>
      <c r="U94" s="25"/>
    </row>
    <row r="95" spans="1:21" s="6" customFormat="1" ht="65.25" customHeight="1" x14ac:dyDescent="0.25">
      <c r="A95" s="23" t="s">
        <v>30</v>
      </c>
      <c r="B95" s="117"/>
      <c r="C95" s="25">
        <f t="shared" si="22"/>
        <v>0</v>
      </c>
      <c r="D95" s="25"/>
      <c r="E95" s="25"/>
      <c r="F95" s="25"/>
      <c r="G95" s="25"/>
      <c r="H95" s="25"/>
      <c r="I95" s="25"/>
      <c r="J95" s="25"/>
      <c r="K95" s="25"/>
      <c r="L95" s="25"/>
      <c r="M95" s="25"/>
      <c r="N95" s="25"/>
      <c r="O95" s="25"/>
      <c r="P95" s="25"/>
      <c r="Q95" s="25"/>
      <c r="R95" s="25"/>
      <c r="S95" s="25"/>
      <c r="T95" s="25"/>
      <c r="U95" s="25"/>
    </row>
    <row r="96" spans="1:21" s="3" customFormat="1" ht="42.75" customHeight="1" x14ac:dyDescent="0.25">
      <c r="A96" s="17">
        <v>3</v>
      </c>
      <c r="B96" s="18" t="s">
        <v>79</v>
      </c>
      <c r="C96" s="19">
        <f>C97+C98</f>
        <v>1223000</v>
      </c>
      <c r="D96" s="19">
        <f t="shared" ref="D96:U96" si="23">D97+D98</f>
        <v>27000</v>
      </c>
      <c r="E96" s="19">
        <f t="shared" si="23"/>
        <v>9500</v>
      </c>
      <c r="F96" s="19">
        <f t="shared" si="23"/>
        <v>9500</v>
      </c>
      <c r="G96" s="19">
        <f t="shared" si="23"/>
        <v>105000</v>
      </c>
      <c r="H96" s="19">
        <f t="shared" si="23"/>
        <v>9600</v>
      </c>
      <c r="I96" s="19">
        <f t="shared" si="23"/>
        <v>9600</v>
      </c>
      <c r="J96" s="19">
        <f t="shared" si="23"/>
        <v>112000</v>
      </c>
      <c r="K96" s="19">
        <f t="shared" si="23"/>
        <v>75200</v>
      </c>
      <c r="L96" s="19">
        <f t="shared" si="23"/>
        <v>132800</v>
      </c>
      <c r="M96" s="19">
        <f t="shared" si="23"/>
        <v>143200</v>
      </c>
      <c r="N96" s="19">
        <f t="shared" si="23"/>
        <v>149600</v>
      </c>
      <c r="O96" s="19">
        <f t="shared" si="23"/>
        <v>130400</v>
      </c>
      <c r="P96" s="19">
        <f t="shared" si="23"/>
        <v>112800</v>
      </c>
      <c r="Q96" s="19">
        <f t="shared" si="23"/>
        <v>105600</v>
      </c>
      <c r="R96" s="19">
        <f t="shared" si="23"/>
        <v>91200</v>
      </c>
      <c r="S96" s="19">
        <f t="shared" si="23"/>
        <v>0</v>
      </c>
      <c r="T96" s="19">
        <f t="shared" si="23"/>
        <v>0</v>
      </c>
      <c r="U96" s="19">
        <f t="shared" si="23"/>
        <v>0</v>
      </c>
    </row>
    <row r="97" spans="1:21" s="4" customFormat="1" ht="42.75" customHeight="1" x14ac:dyDescent="0.25">
      <c r="A97" s="20"/>
      <c r="B97" s="21" t="s">
        <v>48</v>
      </c>
      <c r="C97" s="25">
        <f t="shared" si="22"/>
        <v>0</v>
      </c>
      <c r="D97" s="22"/>
      <c r="E97" s="22"/>
      <c r="F97" s="22"/>
      <c r="G97" s="22"/>
      <c r="H97" s="22"/>
      <c r="I97" s="22"/>
      <c r="J97" s="22"/>
      <c r="K97" s="22"/>
      <c r="L97" s="22"/>
      <c r="M97" s="22"/>
      <c r="N97" s="22"/>
      <c r="O97" s="22"/>
      <c r="P97" s="22"/>
      <c r="Q97" s="22"/>
      <c r="R97" s="22"/>
      <c r="S97" s="22"/>
      <c r="T97" s="22"/>
      <c r="U97" s="22"/>
    </row>
    <row r="98" spans="1:21" s="4" customFormat="1" ht="42.75" customHeight="1" x14ac:dyDescent="0.25">
      <c r="A98" s="20"/>
      <c r="B98" s="21" t="s">
        <v>49</v>
      </c>
      <c r="C98" s="25">
        <f t="shared" si="22"/>
        <v>1223000</v>
      </c>
      <c r="D98" s="22">
        <f t="shared" ref="D98:U98" si="24">D99</f>
        <v>27000</v>
      </c>
      <c r="E98" s="22">
        <f t="shared" si="24"/>
        <v>9500</v>
      </c>
      <c r="F98" s="22">
        <f t="shared" si="24"/>
        <v>9500</v>
      </c>
      <c r="G98" s="22">
        <f t="shared" si="24"/>
        <v>105000</v>
      </c>
      <c r="H98" s="22">
        <f t="shared" si="24"/>
        <v>9600</v>
      </c>
      <c r="I98" s="22">
        <f t="shared" si="24"/>
        <v>9600</v>
      </c>
      <c r="J98" s="22">
        <f t="shared" si="24"/>
        <v>112000</v>
      </c>
      <c r="K98" s="22">
        <f t="shared" si="24"/>
        <v>75200</v>
      </c>
      <c r="L98" s="22">
        <f t="shared" si="24"/>
        <v>132800</v>
      </c>
      <c r="M98" s="22">
        <f t="shared" si="24"/>
        <v>143200</v>
      </c>
      <c r="N98" s="22">
        <f t="shared" si="24"/>
        <v>149600</v>
      </c>
      <c r="O98" s="22">
        <f t="shared" si="24"/>
        <v>130400</v>
      </c>
      <c r="P98" s="22">
        <f t="shared" si="24"/>
        <v>112800</v>
      </c>
      <c r="Q98" s="22">
        <f t="shared" si="24"/>
        <v>105600</v>
      </c>
      <c r="R98" s="22">
        <f t="shared" si="24"/>
        <v>91200</v>
      </c>
      <c r="S98" s="22">
        <f t="shared" si="24"/>
        <v>0</v>
      </c>
      <c r="T98" s="22">
        <f t="shared" si="24"/>
        <v>0</v>
      </c>
      <c r="U98" s="22">
        <f t="shared" si="24"/>
        <v>0</v>
      </c>
    </row>
    <row r="99" spans="1:21" s="4" customFormat="1" ht="42.75" customHeight="1" x14ac:dyDescent="0.25">
      <c r="A99" s="20"/>
      <c r="B99" s="21" t="s">
        <v>115</v>
      </c>
      <c r="C99" s="25">
        <f t="shared" si="22"/>
        <v>1223000</v>
      </c>
      <c r="D99" s="22">
        <v>27000</v>
      </c>
      <c r="E99" s="22">
        <v>9500</v>
      </c>
      <c r="F99" s="22">
        <v>9500</v>
      </c>
      <c r="G99" s="22">
        <v>105000</v>
      </c>
      <c r="H99" s="22">
        <v>9600</v>
      </c>
      <c r="I99" s="22">
        <v>9600</v>
      </c>
      <c r="J99" s="22">
        <v>112000</v>
      </c>
      <c r="K99" s="22">
        <v>75200</v>
      </c>
      <c r="L99" s="22">
        <v>132800</v>
      </c>
      <c r="M99" s="22">
        <v>143200</v>
      </c>
      <c r="N99" s="22">
        <v>149600</v>
      </c>
      <c r="O99" s="22">
        <v>130400</v>
      </c>
      <c r="P99" s="22">
        <v>112800</v>
      </c>
      <c r="Q99" s="22">
        <v>105600</v>
      </c>
      <c r="R99" s="22">
        <v>91200</v>
      </c>
      <c r="S99" s="22"/>
      <c r="T99" s="22"/>
      <c r="U99" s="22"/>
    </row>
    <row r="100" spans="1:21" s="3" customFormat="1" ht="42.75" customHeight="1" x14ac:dyDescent="0.25">
      <c r="A100" s="17">
        <v>4</v>
      </c>
      <c r="B100" s="18" t="s">
        <v>117</v>
      </c>
      <c r="C100" s="19">
        <f>C101+C102</f>
        <v>0</v>
      </c>
      <c r="D100" s="19">
        <f t="shared" ref="D100:U100" si="25">D101+D102</f>
        <v>0</v>
      </c>
      <c r="E100" s="19">
        <f t="shared" si="25"/>
        <v>0</v>
      </c>
      <c r="F100" s="19">
        <f t="shared" si="25"/>
        <v>0</v>
      </c>
      <c r="G100" s="19">
        <f t="shared" si="25"/>
        <v>0</v>
      </c>
      <c r="H100" s="19">
        <f t="shared" si="25"/>
        <v>0</v>
      </c>
      <c r="I100" s="19">
        <f t="shared" si="25"/>
        <v>0</v>
      </c>
      <c r="J100" s="19">
        <f t="shared" si="25"/>
        <v>0</v>
      </c>
      <c r="K100" s="19">
        <f t="shared" si="25"/>
        <v>0</v>
      </c>
      <c r="L100" s="19">
        <f t="shared" si="25"/>
        <v>0</v>
      </c>
      <c r="M100" s="19">
        <f t="shared" si="25"/>
        <v>0</v>
      </c>
      <c r="N100" s="19">
        <f t="shared" si="25"/>
        <v>0</v>
      </c>
      <c r="O100" s="19">
        <f t="shared" si="25"/>
        <v>0</v>
      </c>
      <c r="P100" s="19">
        <f t="shared" si="25"/>
        <v>0</v>
      </c>
      <c r="Q100" s="19">
        <f t="shared" si="25"/>
        <v>0</v>
      </c>
      <c r="R100" s="19">
        <f t="shared" si="25"/>
        <v>0</v>
      </c>
      <c r="S100" s="19">
        <f t="shared" si="25"/>
        <v>0</v>
      </c>
      <c r="T100" s="19">
        <f t="shared" si="25"/>
        <v>0</v>
      </c>
      <c r="U100" s="19">
        <f t="shared" si="25"/>
        <v>0</v>
      </c>
    </row>
    <row r="101" spans="1:21" s="4" customFormat="1" ht="42.75" customHeight="1" x14ac:dyDescent="0.25">
      <c r="A101" s="20"/>
      <c r="B101" s="21" t="s">
        <v>48</v>
      </c>
      <c r="C101" s="25">
        <f>SUM(D101:U101)</f>
        <v>0</v>
      </c>
      <c r="D101" s="22"/>
      <c r="E101" s="22"/>
      <c r="F101" s="22"/>
      <c r="G101" s="22"/>
      <c r="H101" s="22"/>
      <c r="I101" s="22"/>
      <c r="J101" s="22"/>
      <c r="K101" s="22"/>
      <c r="L101" s="22"/>
      <c r="M101" s="22"/>
      <c r="N101" s="22"/>
      <c r="O101" s="22"/>
      <c r="P101" s="22"/>
      <c r="Q101" s="22"/>
      <c r="R101" s="22"/>
      <c r="S101" s="22"/>
      <c r="T101" s="22"/>
      <c r="U101" s="22"/>
    </row>
    <row r="102" spans="1:21" s="4" customFormat="1" ht="42.75" customHeight="1" x14ac:dyDescent="0.25">
      <c r="A102" s="20"/>
      <c r="B102" s="21" t="s">
        <v>49</v>
      </c>
      <c r="C102" s="22">
        <f>C103</f>
        <v>0</v>
      </c>
      <c r="D102" s="22">
        <f t="shared" ref="D102:U102" si="26">D103</f>
        <v>0</v>
      </c>
      <c r="E102" s="22">
        <f t="shared" si="26"/>
        <v>0</v>
      </c>
      <c r="F102" s="22">
        <f t="shared" si="26"/>
        <v>0</v>
      </c>
      <c r="G102" s="22">
        <f t="shared" si="26"/>
        <v>0</v>
      </c>
      <c r="H102" s="22">
        <f t="shared" si="26"/>
        <v>0</v>
      </c>
      <c r="I102" s="22">
        <f t="shared" si="26"/>
        <v>0</v>
      </c>
      <c r="J102" s="22">
        <f t="shared" si="26"/>
        <v>0</v>
      </c>
      <c r="K102" s="22">
        <f t="shared" si="26"/>
        <v>0</v>
      </c>
      <c r="L102" s="22">
        <f t="shared" si="26"/>
        <v>0</v>
      </c>
      <c r="M102" s="22">
        <f t="shared" si="26"/>
        <v>0</v>
      </c>
      <c r="N102" s="22">
        <f t="shared" si="26"/>
        <v>0</v>
      </c>
      <c r="O102" s="22">
        <f t="shared" si="26"/>
        <v>0</v>
      </c>
      <c r="P102" s="22">
        <f t="shared" si="26"/>
        <v>0</v>
      </c>
      <c r="Q102" s="22">
        <f t="shared" si="26"/>
        <v>0</v>
      </c>
      <c r="R102" s="22">
        <f t="shared" si="26"/>
        <v>0</v>
      </c>
      <c r="S102" s="22">
        <f t="shared" si="26"/>
        <v>0</v>
      </c>
      <c r="T102" s="22">
        <f t="shared" si="26"/>
        <v>0</v>
      </c>
      <c r="U102" s="22">
        <f t="shared" si="26"/>
        <v>0</v>
      </c>
    </row>
    <row r="103" spans="1:21" s="4" customFormat="1" ht="42.75" customHeight="1" x14ac:dyDescent="0.25">
      <c r="A103" s="20" t="s">
        <v>37</v>
      </c>
      <c r="B103" s="21" t="s">
        <v>43</v>
      </c>
      <c r="C103" s="25">
        <f>SUM(D103:U103)</f>
        <v>0</v>
      </c>
      <c r="D103" s="22"/>
      <c r="E103" s="22"/>
      <c r="F103" s="22"/>
      <c r="G103" s="22"/>
      <c r="H103" s="22"/>
      <c r="I103" s="22"/>
      <c r="J103" s="22"/>
      <c r="K103" s="22"/>
      <c r="L103" s="22"/>
      <c r="M103" s="22"/>
      <c r="N103" s="22"/>
      <c r="O103" s="22"/>
      <c r="P103" s="22"/>
      <c r="Q103" s="22"/>
      <c r="R103" s="22"/>
      <c r="S103" s="22"/>
      <c r="T103" s="22"/>
      <c r="U103" s="22"/>
    </row>
    <row r="104" spans="1:21" s="3" customFormat="1" ht="42.75" customHeight="1" x14ac:dyDescent="0.25">
      <c r="A104" s="20"/>
      <c r="B104" s="18" t="s">
        <v>83</v>
      </c>
      <c r="C104" s="30"/>
      <c r="D104" s="31">
        <v>1046289</v>
      </c>
      <c r="E104" s="31" t="s">
        <v>84</v>
      </c>
      <c r="F104" s="31" t="s">
        <v>85</v>
      </c>
      <c r="G104" s="31" t="s">
        <v>86</v>
      </c>
      <c r="H104" s="31" t="s">
        <v>87</v>
      </c>
      <c r="I104" s="31" t="s">
        <v>88</v>
      </c>
      <c r="J104" s="31" t="s">
        <v>89</v>
      </c>
      <c r="K104" s="31" t="s">
        <v>90</v>
      </c>
      <c r="L104" s="31" t="s">
        <v>91</v>
      </c>
      <c r="M104" s="31" t="s">
        <v>92</v>
      </c>
      <c r="N104" s="31" t="s">
        <v>93</v>
      </c>
      <c r="O104" s="31" t="s">
        <v>94</v>
      </c>
      <c r="P104" s="31" t="s">
        <v>95</v>
      </c>
      <c r="Q104" s="31" t="s">
        <v>96</v>
      </c>
      <c r="R104" s="31" t="s">
        <v>97</v>
      </c>
      <c r="S104" s="31" t="s">
        <v>98</v>
      </c>
      <c r="T104" s="31" t="s">
        <v>99</v>
      </c>
      <c r="U104" s="31" t="s">
        <v>100</v>
      </c>
    </row>
    <row r="105" spans="1:21" s="3" customFormat="1" ht="42.75" customHeight="1" x14ac:dyDescent="0.25">
      <c r="A105" s="32"/>
      <c r="B105" s="33" t="s">
        <v>101</v>
      </c>
      <c r="C105" s="34"/>
      <c r="D105" s="35">
        <v>3061</v>
      </c>
      <c r="E105" s="35">
        <v>3061</v>
      </c>
      <c r="F105" s="35">
        <v>3061</v>
      </c>
      <c r="G105" s="35">
        <v>3061</v>
      </c>
      <c r="H105" s="35">
        <v>3061</v>
      </c>
      <c r="I105" s="35">
        <v>3061</v>
      </c>
      <c r="J105" s="35">
        <v>3061</v>
      </c>
      <c r="K105" s="35">
        <v>3061</v>
      </c>
      <c r="L105" s="35" t="s">
        <v>102</v>
      </c>
      <c r="M105" s="35" t="s">
        <v>103</v>
      </c>
      <c r="N105" s="35" t="s">
        <v>104</v>
      </c>
      <c r="O105" s="35" t="s">
        <v>105</v>
      </c>
      <c r="P105" s="35" t="s">
        <v>106</v>
      </c>
      <c r="Q105" s="35" t="s">
        <v>107</v>
      </c>
      <c r="R105" s="35" t="s">
        <v>108</v>
      </c>
      <c r="S105" s="35" t="s">
        <v>109</v>
      </c>
      <c r="T105" s="35" t="s">
        <v>109</v>
      </c>
      <c r="U105" s="35" t="s">
        <v>109</v>
      </c>
    </row>
  </sheetData>
  <mergeCells count="9">
    <mergeCell ref="T4:U4"/>
    <mergeCell ref="A5:A6"/>
    <mergeCell ref="B5:B6"/>
    <mergeCell ref="C5:C6"/>
    <mergeCell ref="D5:U5"/>
    <mergeCell ref="A1:E1"/>
    <mergeCell ref="R1:U1"/>
    <mergeCell ref="A2:U2"/>
    <mergeCell ref="A3:U3"/>
  </mergeCells>
  <pageMargins left="0.27559055118110237" right="0.19685039370078741" top="0.47244094488188981" bottom="0.51181102362204722" header="0.35433070866141736" footer="0.31496062992125984"/>
  <pageSetup paperSize="9" scale="50" fitToWidth="0" fitToHeight="0" orientation="landscape" r:id="rId1"/>
  <headerFooter>
    <oddFooter>&amp;C&amp;N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PL.TH</vt:lpstr>
      <vt:lpstr>PL. CHI TIẾT</vt:lpstr>
      <vt:lpstr>'PL. CHI TIẾT'!Print_Titles</vt:lpstr>
      <vt:lpstr>PL.TH!Print_Titles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PC</cp:lastModifiedBy>
  <cp:lastPrinted>2024-01-04T01:51:00Z</cp:lastPrinted>
  <dcterms:created xsi:type="dcterms:W3CDTF">2023-02-23T08:27:43Z</dcterms:created>
  <dcterms:modified xsi:type="dcterms:W3CDTF">2024-01-04T01:51:15Z</dcterms:modified>
</cp:coreProperties>
</file>